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hidePivotFieldList="1"/>
  <xr:revisionPtr revIDLastSave="0" documentId="13_ncr:1_{6892D2A2-A92D-41AE-8A2E-76C85068C3FB}" xr6:coauthVersionLast="45" xr6:coauthVersionMax="45" xr10:uidLastSave="{00000000-0000-0000-0000-000000000000}"/>
  <bookViews>
    <workbookView xWindow="-120" yWindow="-120" windowWidth="29040" windowHeight="17640" activeTab="1" xr2:uid="{00000000-000D-0000-FFFF-FFFF00000000}"/>
  </bookViews>
  <sheets>
    <sheet name="Læsø, 2018" sheetId="2" r:id="rId1"/>
    <sheet name="Data ark 2018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N27" i="1"/>
  <c r="S27" i="1"/>
  <c r="T27" i="1"/>
  <c r="W27" i="1" l="1"/>
  <c r="X27" i="1" s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S241" i="1"/>
  <c r="T241" i="1"/>
  <c r="O34" i="1"/>
  <c r="S34" i="1" s="1"/>
  <c r="W7" i="1"/>
  <c r="X7" i="1" s="1"/>
  <c r="M97" i="1"/>
  <c r="S97" i="1" s="1"/>
  <c r="X21" i="1" l="1"/>
  <c r="X8" i="1"/>
  <c r="X10" i="1"/>
  <c r="X11" i="1"/>
  <c r="X9" i="1"/>
  <c r="W241" i="1"/>
  <c r="X241" i="1" s="1"/>
  <c r="T34" i="1"/>
  <c r="W34" i="1" s="1"/>
  <c r="X34" i="1" s="1"/>
  <c r="S71" i="1" l="1"/>
  <c r="T71" i="1"/>
  <c r="S69" i="1"/>
  <c r="T69" i="1"/>
  <c r="S87" i="1"/>
  <c r="T87" i="1"/>
  <c r="S83" i="1"/>
  <c r="T83" i="1"/>
  <c r="M64" i="1"/>
  <c r="W87" i="1" l="1"/>
  <c r="X87" i="1" s="1"/>
  <c r="W69" i="1"/>
  <c r="X69" i="1" s="1"/>
  <c r="W83" i="1"/>
  <c r="X83" i="1" s="1"/>
  <c r="W71" i="1"/>
  <c r="X71" i="1" s="1"/>
  <c r="O60" i="1"/>
  <c r="O57" i="1"/>
  <c r="O59" i="1"/>
  <c r="O58" i="1"/>
  <c r="O52" i="1"/>
  <c r="L52" i="1"/>
  <c r="L39" i="1"/>
  <c r="O39" i="1"/>
  <c r="M91" i="1"/>
  <c r="M92" i="1"/>
  <c r="M90" i="1"/>
  <c r="M89" i="1"/>
  <c r="M88" i="1"/>
  <c r="M86" i="1"/>
  <c r="M82" i="1"/>
  <c r="M84" i="1"/>
  <c r="P85" i="1"/>
  <c r="P81" i="1"/>
  <c r="P80" i="1"/>
  <c r="M79" i="1"/>
  <c r="M78" i="1"/>
  <c r="M77" i="1"/>
  <c r="M75" i="1"/>
  <c r="M74" i="1"/>
  <c r="M73" i="1"/>
  <c r="M72" i="1"/>
  <c r="M76" i="1"/>
  <c r="M68" i="1"/>
  <c r="M66" i="1"/>
  <c r="M65" i="1"/>
  <c r="M63" i="1"/>
  <c r="S64" i="1" l="1"/>
  <c r="T64" i="1"/>
  <c r="S74" i="1"/>
  <c r="T74" i="1"/>
  <c r="S75" i="1"/>
  <c r="T75" i="1"/>
  <c r="S68" i="1"/>
  <c r="S70" i="1"/>
  <c r="S76" i="1"/>
  <c r="T68" i="1"/>
  <c r="T70" i="1"/>
  <c r="T76" i="1"/>
  <c r="S63" i="1"/>
  <c r="S65" i="1"/>
  <c r="S66" i="1"/>
  <c r="T63" i="1"/>
  <c r="T65" i="1"/>
  <c r="T66" i="1"/>
  <c r="S86" i="1"/>
  <c r="T86" i="1"/>
  <c r="T82" i="1"/>
  <c r="S82" i="1"/>
  <c r="S88" i="1"/>
  <c r="T88" i="1"/>
  <c r="S92" i="1"/>
  <c r="T92" i="1"/>
  <c r="S58" i="1"/>
  <c r="S59" i="1"/>
  <c r="S60" i="1"/>
  <c r="S57" i="1"/>
  <c r="T58" i="1"/>
  <c r="T59" i="1"/>
  <c r="T60" i="1"/>
  <c r="T57" i="1"/>
  <c r="S52" i="1"/>
  <c r="T52" i="1"/>
  <c r="S39" i="1"/>
  <c r="T39" i="1"/>
  <c r="S23" i="1"/>
  <c r="X23" i="1" s="1"/>
  <c r="S22" i="1"/>
  <c r="T23" i="1"/>
  <c r="T22" i="1"/>
  <c r="X22" i="1" s="1"/>
  <c r="S25" i="1"/>
  <c r="S24" i="1"/>
  <c r="X24" i="1" s="1"/>
  <c r="T25" i="1"/>
  <c r="T24" i="1"/>
  <c r="X25" i="1"/>
  <c r="S26" i="1"/>
  <c r="T26" i="1"/>
  <c r="X26" i="1"/>
  <c r="W75" i="1" l="1"/>
  <c r="X75" i="1" s="1"/>
  <c r="W74" i="1"/>
  <c r="X74" i="1" s="1"/>
  <c r="W92" i="1"/>
  <c r="X92" i="1" s="1"/>
  <c r="W76" i="1"/>
  <c r="X76" i="1" s="1"/>
  <c r="W70" i="1"/>
  <c r="X70" i="1" s="1"/>
  <c r="W57" i="1"/>
  <c r="X57" i="1" s="1"/>
  <c r="W82" i="1"/>
  <c r="X82" i="1" s="1"/>
  <c r="W59" i="1"/>
  <c r="X59" i="1" s="1"/>
  <c r="W60" i="1"/>
  <c r="X60" i="1" s="1"/>
  <c r="W68" i="1"/>
  <c r="X68" i="1" s="1"/>
  <c r="W64" i="1"/>
  <c r="X64" i="1" s="1"/>
  <c r="W66" i="1"/>
  <c r="X66" i="1" s="1"/>
  <c r="W65" i="1"/>
  <c r="X65" i="1" s="1"/>
  <c r="W58" i="1"/>
  <c r="X58" i="1" s="1"/>
  <c r="W88" i="1"/>
  <c r="X88" i="1" s="1"/>
  <c r="W63" i="1"/>
  <c r="X63" i="1" s="1"/>
  <c r="W39" i="1"/>
  <c r="X39" i="1" s="1"/>
  <c r="W52" i="1"/>
  <c r="X52" i="1" s="1"/>
  <c r="W86" i="1"/>
  <c r="X86" i="1" s="1"/>
  <c r="O29" i="1" l="1"/>
  <c r="O30" i="1"/>
  <c r="O31" i="1"/>
  <c r="O32" i="1"/>
  <c r="O33" i="1"/>
  <c r="O36" i="1"/>
  <c r="S13" i="1" l="1"/>
  <c r="S14" i="1"/>
  <c r="S15" i="1"/>
  <c r="S17" i="1"/>
  <c r="S18" i="1"/>
  <c r="S19" i="1"/>
  <c r="S20" i="1"/>
  <c r="S67" i="1"/>
  <c r="S72" i="1"/>
  <c r="S73" i="1"/>
  <c r="S77" i="1"/>
  <c r="S78" i="1"/>
  <c r="S79" i="1"/>
  <c r="S80" i="1"/>
  <c r="S81" i="1"/>
  <c r="S84" i="1"/>
  <c r="S85" i="1"/>
  <c r="S89" i="1"/>
  <c r="S90" i="1"/>
  <c r="S91" i="1"/>
  <c r="S93" i="1"/>
  <c r="S94" i="1"/>
  <c r="S95" i="1"/>
  <c r="S96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7" i="1"/>
  <c r="S238" i="1"/>
  <c r="S239" i="1"/>
  <c r="S240" i="1"/>
  <c r="S242" i="1"/>
  <c r="S243" i="1"/>
  <c r="S244" i="1"/>
  <c r="S245" i="1"/>
  <c r="S247" i="1"/>
  <c r="S246" i="1"/>
  <c r="S248" i="1"/>
  <c r="S249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61" i="1"/>
  <c r="S16" i="1"/>
  <c r="S12" i="1"/>
  <c r="L45" i="1" l="1"/>
  <c r="S45" i="1" s="1"/>
  <c r="O43" i="1"/>
  <c r="S43" i="1" s="1"/>
  <c r="L42" i="1"/>
  <c r="S42" i="1" s="1"/>
  <c r="O41" i="1"/>
  <c r="S41" i="1" s="1"/>
  <c r="L40" i="1"/>
  <c r="S40" i="1" s="1"/>
  <c r="O56" i="1"/>
  <c r="S56" i="1" s="1"/>
  <c r="L55" i="1"/>
  <c r="S55" i="1" s="1"/>
  <c r="L51" i="1"/>
  <c r="S51" i="1" s="1"/>
  <c r="O46" i="1"/>
  <c r="S46" i="1" s="1"/>
  <c r="O35" i="1"/>
  <c r="S35" i="1" s="1"/>
  <c r="O54" i="1"/>
  <c r="S54" i="1" s="1"/>
  <c r="L53" i="1"/>
  <c r="S53" i="1" s="1"/>
  <c r="O50" i="1"/>
  <c r="S50" i="1" s="1"/>
  <c r="L49" i="1"/>
  <c r="S49" i="1" s="1"/>
  <c r="L37" i="1"/>
  <c r="S37" i="1" s="1"/>
  <c r="O44" i="1"/>
  <c r="S44" i="1" s="1"/>
  <c r="L38" i="1"/>
  <c r="S38" i="1" s="1"/>
  <c r="O28" i="1"/>
  <c r="S28" i="1" s="1"/>
  <c r="S31" i="1"/>
  <c r="S32" i="1"/>
  <c r="O47" i="1"/>
  <c r="S47" i="1" s="1"/>
  <c r="S33" i="1"/>
  <c r="S36" i="1"/>
  <c r="O270" i="1"/>
  <c r="S270" i="1" s="1"/>
  <c r="O48" i="1"/>
  <c r="S48" i="1" s="1"/>
  <c r="O62" i="1" l="1"/>
  <c r="S62" i="1" s="1"/>
  <c r="S29" i="1"/>
  <c r="S30" i="1"/>
  <c r="T49" i="1" l="1"/>
  <c r="W49" i="1" s="1"/>
  <c r="X49" i="1" s="1"/>
  <c r="T50" i="1"/>
  <c r="W50" i="1" s="1"/>
  <c r="X50" i="1" s="1"/>
  <c r="T53" i="1"/>
  <c r="W53" i="1" s="1"/>
  <c r="X53" i="1" s="1"/>
  <c r="T54" i="1"/>
  <c r="W54" i="1" s="1"/>
  <c r="X54" i="1" s="1"/>
  <c r="T35" i="1"/>
  <c r="W35" i="1" s="1"/>
  <c r="X35" i="1" s="1"/>
  <c r="T46" i="1"/>
  <c r="W46" i="1" s="1"/>
  <c r="X46" i="1" s="1"/>
  <c r="T51" i="1"/>
  <c r="W51" i="1" s="1"/>
  <c r="X51" i="1" s="1"/>
  <c r="T55" i="1"/>
  <c r="W55" i="1" s="1"/>
  <c r="X55" i="1" s="1"/>
  <c r="T56" i="1"/>
  <c r="W56" i="1" s="1"/>
  <c r="X56" i="1" s="1"/>
  <c r="T40" i="1"/>
  <c r="W40" i="1" s="1"/>
  <c r="X40" i="1" s="1"/>
  <c r="T41" i="1"/>
  <c r="W41" i="1" s="1"/>
  <c r="X41" i="1" s="1"/>
  <c r="T42" i="1"/>
  <c r="W42" i="1" s="1"/>
  <c r="X42" i="1" s="1"/>
  <c r="T43" i="1"/>
  <c r="W43" i="1" s="1"/>
  <c r="X43" i="1" s="1"/>
  <c r="T45" i="1"/>
  <c r="W45" i="1" s="1"/>
  <c r="X45" i="1" s="1"/>
  <c r="T44" i="1"/>
  <c r="W44" i="1" s="1"/>
  <c r="X44" i="1" s="1"/>
  <c r="T38" i="1"/>
  <c r="W38" i="1" s="1"/>
  <c r="X38" i="1" s="1"/>
  <c r="T28" i="1"/>
  <c r="W28" i="1" s="1"/>
  <c r="X28" i="1" s="1"/>
  <c r="T195" i="1"/>
  <c r="W195" i="1" s="1"/>
  <c r="X195" i="1" s="1"/>
  <c r="T196" i="1"/>
  <c r="W196" i="1" s="1"/>
  <c r="X196" i="1" s="1"/>
  <c r="T194" i="1"/>
  <c r="W194" i="1" s="1"/>
  <c r="X194" i="1" s="1"/>
  <c r="T226" i="1"/>
  <c r="W226" i="1" s="1"/>
  <c r="X226" i="1" s="1"/>
  <c r="T218" i="1"/>
  <c r="W218" i="1" s="1"/>
  <c r="X218" i="1" s="1"/>
  <c r="T229" i="1"/>
  <c r="W229" i="1" s="1"/>
  <c r="X229" i="1" s="1"/>
  <c r="T197" i="1"/>
  <c r="W197" i="1" s="1"/>
  <c r="X197" i="1" s="1"/>
  <c r="T232" i="1"/>
  <c r="W232" i="1" s="1"/>
  <c r="X232" i="1" s="1"/>
  <c r="T117" i="1"/>
  <c r="W117" i="1" s="1"/>
  <c r="X117" i="1" s="1"/>
  <c r="T180" i="1"/>
  <c r="W180" i="1" s="1"/>
  <c r="X180" i="1" s="1"/>
  <c r="T95" i="1"/>
  <c r="W95" i="1" s="1"/>
  <c r="X95" i="1" s="1"/>
  <c r="T186" i="1"/>
  <c r="W186" i="1" s="1"/>
  <c r="X186" i="1" s="1"/>
  <c r="T146" i="1"/>
  <c r="W146" i="1" s="1"/>
  <c r="X146" i="1" s="1"/>
  <c r="T185" i="1"/>
  <c r="W185" i="1" s="1"/>
  <c r="X185" i="1" s="1"/>
  <c r="T227" i="1"/>
  <c r="W227" i="1" s="1"/>
  <c r="X227" i="1" s="1"/>
  <c r="T225" i="1"/>
  <c r="W225" i="1" s="1"/>
  <c r="X225" i="1" s="1"/>
  <c r="T181" i="1"/>
  <c r="W181" i="1" s="1"/>
  <c r="X181" i="1" s="1"/>
  <c r="T179" i="1"/>
  <c r="W179" i="1" s="1"/>
  <c r="X179" i="1" s="1"/>
  <c r="T128" i="1"/>
  <c r="W128" i="1" s="1"/>
  <c r="X128" i="1" s="1"/>
  <c r="T132" i="1"/>
  <c r="W132" i="1" s="1"/>
  <c r="X132" i="1" s="1"/>
  <c r="T183" i="1"/>
  <c r="W183" i="1" s="1"/>
  <c r="X183" i="1" s="1"/>
  <c r="T184" i="1"/>
  <c r="W184" i="1" s="1"/>
  <c r="X184" i="1" s="1"/>
  <c r="T189" i="1"/>
  <c r="W189" i="1" s="1"/>
  <c r="X189" i="1" s="1"/>
  <c r="T190" i="1"/>
  <c r="W190" i="1" s="1"/>
  <c r="X190" i="1" s="1"/>
  <c r="T175" i="1"/>
  <c r="W175" i="1" s="1"/>
  <c r="X175" i="1" s="1"/>
  <c r="T176" i="1"/>
  <c r="W176" i="1" s="1"/>
  <c r="X176" i="1" s="1"/>
  <c r="T191" i="1"/>
  <c r="W191" i="1" s="1"/>
  <c r="X191" i="1" s="1"/>
  <c r="T192" i="1"/>
  <c r="W192" i="1" s="1"/>
  <c r="X192" i="1" s="1"/>
  <c r="T228" i="1"/>
  <c r="W228" i="1" s="1"/>
  <c r="X228" i="1" s="1"/>
  <c r="T125" i="1"/>
  <c r="W125" i="1" s="1"/>
  <c r="X125" i="1" s="1"/>
  <c r="T214" i="1"/>
  <c r="W214" i="1" s="1"/>
  <c r="X214" i="1" s="1"/>
  <c r="T215" i="1"/>
  <c r="W215" i="1" s="1"/>
  <c r="X215" i="1" s="1"/>
  <c r="T172" i="1"/>
  <c r="W172" i="1" s="1"/>
  <c r="X172" i="1" s="1"/>
  <c r="T187" i="1"/>
  <c r="W187" i="1" s="1"/>
  <c r="X187" i="1" s="1"/>
  <c r="T188" i="1"/>
  <c r="W188" i="1" s="1"/>
  <c r="X188" i="1" s="1"/>
  <c r="T202" i="1"/>
  <c r="W202" i="1" s="1"/>
  <c r="X202" i="1" s="1"/>
  <c r="T221" i="1"/>
  <c r="W221" i="1" s="1"/>
  <c r="X221" i="1" s="1"/>
  <c r="T222" i="1"/>
  <c r="W222" i="1" s="1"/>
  <c r="X222" i="1" s="1"/>
  <c r="T223" i="1"/>
  <c r="W223" i="1" s="1"/>
  <c r="X223" i="1" s="1"/>
  <c r="T224" i="1"/>
  <c r="W224" i="1" s="1"/>
  <c r="X224" i="1" s="1"/>
  <c r="T143" i="1"/>
  <c r="W143" i="1" s="1"/>
  <c r="X143" i="1" s="1"/>
  <c r="T144" i="1"/>
  <c r="W144" i="1" s="1"/>
  <c r="X144" i="1" s="1"/>
  <c r="T177" i="1"/>
  <c r="W177" i="1" s="1"/>
  <c r="X177" i="1" s="1"/>
  <c r="T178" i="1"/>
  <c r="W178" i="1" s="1"/>
  <c r="X178" i="1" s="1"/>
  <c r="T230" i="1"/>
  <c r="W230" i="1" s="1"/>
  <c r="X230" i="1" s="1"/>
  <c r="T210" i="1"/>
  <c r="W210" i="1" s="1"/>
  <c r="X210" i="1" s="1"/>
  <c r="T219" i="1"/>
  <c r="W219" i="1" s="1"/>
  <c r="X219" i="1" s="1"/>
  <c r="T220" i="1"/>
  <c r="W220" i="1" s="1"/>
  <c r="X220" i="1" s="1"/>
  <c r="T182" i="1"/>
  <c r="W182" i="1" s="1"/>
  <c r="X182" i="1" s="1"/>
  <c r="T169" i="1"/>
  <c r="W169" i="1" s="1"/>
  <c r="X169" i="1" s="1"/>
  <c r="T170" i="1"/>
  <c r="W170" i="1" s="1"/>
  <c r="X170" i="1" s="1"/>
  <c r="T145" i="1"/>
  <c r="W145" i="1" s="1"/>
  <c r="X145" i="1" s="1"/>
  <c r="T216" i="1"/>
  <c r="W216" i="1" s="1"/>
  <c r="X216" i="1" s="1"/>
  <c r="T213" i="1"/>
  <c r="W213" i="1" s="1"/>
  <c r="X213" i="1" s="1"/>
  <c r="T173" i="1"/>
  <c r="W173" i="1" s="1"/>
  <c r="X173" i="1" s="1"/>
  <c r="T174" i="1"/>
  <c r="W174" i="1" s="1"/>
  <c r="X174" i="1" s="1"/>
  <c r="T217" i="1"/>
  <c r="W217" i="1" s="1"/>
  <c r="X217" i="1" s="1"/>
  <c r="T209" i="1"/>
  <c r="W209" i="1" s="1"/>
  <c r="X209" i="1" s="1"/>
  <c r="T211" i="1"/>
  <c r="W211" i="1" s="1"/>
  <c r="X211" i="1" s="1"/>
  <c r="T126" i="1"/>
  <c r="W126" i="1" s="1"/>
  <c r="X126" i="1" s="1"/>
  <c r="T160" i="1"/>
  <c r="W160" i="1" s="1"/>
  <c r="X160" i="1" s="1"/>
  <c r="T116" i="1"/>
  <c r="W116" i="1" s="1"/>
  <c r="X116" i="1" s="1"/>
  <c r="T129" i="1"/>
  <c r="W129" i="1" s="1"/>
  <c r="X129" i="1" s="1"/>
  <c r="T130" i="1"/>
  <c r="W130" i="1" s="1"/>
  <c r="X130" i="1" s="1"/>
  <c r="T171" i="1"/>
  <c r="W171" i="1" s="1"/>
  <c r="X171" i="1" s="1"/>
  <c r="T124" i="1"/>
  <c r="W124" i="1" s="1"/>
  <c r="X124" i="1" s="1"/>
  <c r="T233" i="1"/>
  <c r="W233" i="1" s="1"/>
  <c r="X233" i="1" s="1"/>
  <c r="T120" i="1"/>
  <c r="W120" i="1" s="1"/>
  <c r="X120" i="1" s="1"/>
  <c r="T121" i="1"/>
  <c r="W121" i="1" s="1"/>
  <c r="X121" i="1" s="1"/>
  <c r="T147" i="1"/>
  <c r="W147" i="1" s="1"/>
  <c r="X147" i="1" s="1"/>
  <c r="T96" i="1"/>
  <c r="W96" i="1" s="1"/>
  <c r="X96" i="1" s="1"/>
  <c r="T113" i="1"/>
  <c r="W113" i="1" s="1"/>
  <c r="X113" i="1" s="1"/>
  <c r="T114" i="1"/>
  <c r="W114" i="1" s="1"/>
  <c r="X114" i="1" s="1"/>
  <c r="T131" i="1"/>
  <c r="W131" i="1" s="1"/>
  <c r="X131" i="1" s="1"/>
  <c r="T122" i="1"/>
  <c r="W122" i="1" s="1"/>
  <c r="X122" i="1" s="1"/>
  <c r="T123" i="1"/>
  <c r="W123" i="1" s="1"/>
  <c r="X123" i="1" s="1"/>
  <c r="T118" i="1"/>
  <c r="W118" i="1" s="1"/>
  <c r="X118" i="1" s="1"/>
  <c r="T119" i="1"/>
  <c r="W119" i="1" s="1"/>
  <c r="X119" i="1" s="1"/>
  <c r="T152" i="1"/>
  <c r="W152" i="1" s="1"/>
  <c r="X152" i="1" s="1"/>
  <c r="T153" i="1"/>
  <c r="W153" i="1" s="1"/>
  <c r="X153" i="1" s="1"/>
  <c r="T150" i="1"/>
  <c r="W150" i="1" s="1"/>
  <c r="X150" i="1" s="1"/>
  <c r="T151" i="1"/>
  <c r="W151" i="1" s="1"/>
  <c r="X151" i="1" s="1"/>
  <c r="T101" i="1"/>
  <c r="W101" i="1" s="1"/>
  <c r="X101" i="1" s="1"/>
  <c r="T127" i="1"/>
  <c r="W127" i="1" s="1"/>
  <c r="X127" i="1" s="1"/>
  <c r="T207" i="1"/>
  <c r="W207" i="1" s="1"/>
  <c r="X207" i="1" s="1"/>
  <c r="T208" i="1"/>
  <c r="W208" i="1" s="1"/>
  <c r="X208" i="1" s="1"/>
  <c r="T205" i="1"/>
  <c r="W205" i="1" s="1"/>
  <c r="X205" i="1" s="1"/>
  <c r="T206" i="1"/>
  <c r="W206" i="1" s="1"/>
  <c r="X206" i="1" s="1"/>
  <c r="T212" i="1"/>
  <c r="W212" i="1" s="1"/>
  <c r="X212" i="1" s="1"/>
  <c r="T148" i="1"/>
  <c r="W148" i="1" s="1"/>
  <c r="X148" i="1" s="1"/>
  <c r="T149" i="1"/>
  <c r="W149" i="1" s="1"/>
  <c r="X149" i="1" s="1"/>
  <c r="T133" i="1"/>
  <c r="W133" i="1" s="1"/>
  <c r="X133" i="1" s="1"/>
  <c r="T93" i="1"/>
  <c r="W93" i="1" s="1"/>
  <c r="X93" i="1" s="1"/>
  <c r="T140" i="1"/>
  <c r="W140" i="1" s="1"/>
  <c r="X140" i="1" s="1"/>
  <c r="T198" i="1"/>
  <c r="W198" i="1" s="1"/>
  <c r="X198" i="1" s="1"/>
  <c r="T199" i="1"/>
  <c r="W199" i="1" s="1"/>
  <c r="X199" i="1" s="1"/>
  <c r="T134" i="1"/>
  <c r="W134" i="1" s="1"/>
  <c r="X134" i="1" s="1"/>
  <c r="T135" i="1"/>
  <c r="W135" i="1" s="1"/>
  <c r="X135" i="1" s="1"/>
  <c r="T203" i="1"/>
  <c r="W203" i="1" s="1"/>
  <c r="X203" i="1" s="1"/>
  <c r="T204" i="1"/>
  <c r="W204" i="1" s="1"/>
  <c r="X204" i="1" s="1"/>
  <c r="T138" i="1"/>
  <c r="W138" i="1" s="1"/>
  <c r="X138" i="1" s="1"/>
  <c r="T139" i="1"/>
  <c r="W139" i="1" s="1"/>
  <c r="X139" i="1" s="1"/>
  <c r="T201" i="1"/>
  <c r="W201" i="1" s="1"/>
  <c r="X201" i="1" s="1"/>
  <c r="T115" i="1"/>
  <c r="W115" i="1" s="1"/>
  <c r="X115" i="1" s="1"/>
  <c r="T155" i="1"/>
  <c r="W155" i="1" s="1"/>
  <c r="X155" i="1" s="1"/>
  <c r="T154" i="1"/>
  <c r="W154" i="1" s="1"/>
  <c r="X154" i="1" s="1"/>
  <c r="T136" i="1"/>
  <c r="W136" i="1" s="1"/>
  <c r="X136" i="1" s="1"/>
  <c r="T137" i="1"/>
  <c r="W137" i="1" s="1"/>
  <c r="X137" i="1" s="1"/>
  <c r="T81" i="1"/>
  <c r="W81" i="1" s="1"/>
  <c r="X81" i="1" s="1"/>
  <c r="T112" i="1"/>
  <c r="W112" i="1" s="1"/>
  <c r="X112" i="1" s="1"/>
  <c r="T141" i="1"/>
  <c r="W141" i="1" s="1"/>
  <c r="X141" i="1" s="1"/>
  <c r="T231" i="1"/>
  <c r="W231" i="1" s="1"/>
  <c r="X231" i="1" s="1"/>
  <c r="T200" i="1"/>
  <c r="W200" i="1" s="1"/>
  <c r="X200" i="1" s="1"/>
  <c r="T97" i="1"/>
  <c r="W97" i="1" s="1"/>
  <c r="X97" i="1" s="1"/>
  <c r="T98" i="1"/>
  <c r="W98" i="1" s="1"/>
  <c r="X98" i="1" s="1"/>
  <c r="T142" i="1"/>
  <c r="W142" i="1" s="1"/>
  <c r="X142" i="1" s="1"/>
  <c r="T193" i="1"/>
  <c r="W193" i="1" s="1"/>
  <c r="X193" i="1" s="1"/>
  <c r="T100" i="1"/>
  <c r="W100" i="1" s="1"/>
  <c r="X100" i="1" s="1"/>
  <c r="T157" i="1"/>
  <c r="W157" i="1" s="1"/>
  <c r="X157" i="1" s="1"/>
  <c r="T158" i="1"/>
  <c r="W158" i="1" s="1"/>
  <c r="X158" i="1" s="1"/>
  <c r="T109" i="1"/>
  <c r="W109" i="1" s="1"/>
  <c r="X109" i="1" s="1"/>
  <c r="T102" i="1"/>
  <c r="W102" i="1" s="1"/>
  <c r="X102" i="1" s="1"/>
  <c r="T103" i="1"/>
  <c r="W103" i="1" s="1"/>
  <c r="X103" i="1" s="1"/>
  <c r="T159" i="1"/>
  <c r="W159" i="1" s="1"/>
  <c r="X159" i="1" s="1"/>
  <c r="T94" i="1"/>
  <c r="W94" i="1" s="1"/>
  <c r="X94" i="1" s="1"/>
  <c r="T110" i="1"/>
  <c r="W110" i="1" s="1"/>
  <c r="X110" i="1" s="1"/>
  <c r="T108" i="1"/>
  <c r="W108" i="1" s="1"/>
  <c r="X108" i="1" s="1"/>
  <c r="T162" i="1"/>
  <c r="W162" i="1" s="1"/>
  <c r="X162" i="1" s="1"/>
  <c r="T163" i="1"/>
  <c r="W163" i="1" s="1"/>
  <c r="X163" i="1" s="1"/>
  <c r="T166" i="1"/>
  <c r="W166" i="1" s="1"/>
  <c r="X166" i="1" s="1"/>
  <c r="T167" i="1"/>
  <c r="W167" i="1" s="1"/>
  <c r="X167" i="1" s="1"/>
  <c r="T106" i="1"/>
  <c r="W106" i="1" s="1"/>
  <c r="X106" i="1" s="1"/>
  <c r="T107" i="1"/>
  <c r="W107" i="1" s="1"/>
  <c r="X107" i="1" s="1"/>
  <c r="T91" i="1"/>
  <c r="W91" i="1" s="1"/>
  <c r="X91" i="1" s="1"/>
  <c r="T89" i="1"/>
  <c r="W89" i="1" s="1"/>
  <c r="X89" i="1" s="1"/>
  <c r="T90" i="1"/>
  <c r="W90" i="1" s="1"/>
  <c r="X90" i="1" s="1"/>
  <c r="T164" i="1"/>
  <c r="W164" i="1" s="1"/>
  <c r="X164" i="1" s="1"/>
  <c r="T165" i="1"/>
  <c r="W165" i="1" s="1"/>
  <c r="X165" i="1" s="1"/>
  <c r="T80" i="1"/>
  <c r="W80" i="1" s="1"/>
  <c r="X80" i="1" s="1"/>
  <c r="T99" i="1"/>
  <c r="W99" i="1" s="1"/>
  <c r="X99" i="1" s="1"/>
  <c r="T168" i="1"/>
  <c r="W168" i="1" s="1"/>
  <c r="X168" i="1" s="1"/>
  <c r="T161" i="1"/>
  <c r="W161" i="1" s="1"/>
  <c r="X161" i="1" s="1"/>
  <c r="T67" i="1"/>
  <c r="W67" i="1" s="1"/>
  <c r="X67" i="1" s="1"/>
  <c r="T111" i="1"/>
  <c r="W111" i="1" s="1"/>
  <c r="X111" i="1" s="1"/>
  <c r="T104" i="1"/>
  <c r="W104" i="1" s="1"/>
  <c r="X104" i="1" s="1"/>
  <c r="T105" i="1"/>
  <c r="W105" i="1" s="1"/>
  <c r="X105" i="1" s="1"/>
  <c r="T77" i="1"/>
  <c r="W77" i="1" s="1"/>
  <c r="X77" i="1" s="1"/>
  <c r="T78" i="1"/>
  <c r="W78" i="1" s="1"/>
  <c r="X78" i="1" s="1"/>
  <c r="T79" i="1"/>
  <c r="W79" i="1" s="1"/>
  <c r="X79" i="1" s="1"/>
  <c r="T72" i="1"/>
  <c r="W72" i="1" s="1"/>
  <c r="X72" i="1" s="1"/>
  <c r="T84" i="1"/>
  <c r="W84" i="1" s="1"/>
  <c r="X84" i="1" s="1"/>
  <c r="T85" i="1"/>
  <c r="W85" i="1" s="1"/>
  <c r="X85" i="1" s="1"/>
  <c r="T73" i="1"/>
  <c r="W73" i="1" s="1"/>
  <c r="X73" i="1" s="1"/>
  <c r="T156" i="1"/>
  <c r="W156" i="1" s="1"/>
  <c r="X156" i="1" s="1"/>
  <c r="T235" i="1"/>
  <c r="W235" i="1" s="1"/>
  <c r="X235" i="1" s="1"/>
  <c r="T234" i="1"/>
  <c r="W234" i="1" s="1"/>
  <c r="X234" i="1" s="1"/>
  <c r="T259" i="1"/>
  <c r="W259" i="1" s="1"/>
  <c r="X259" i="1" s="1"/>
  <c r="T257" i="1"/>
  <c r="W257" i="1" s="1"/>
  <c r="X257" i="1" s="1"/>
  <c r="T269" i="1"/>
  <c r="W269" i="1" s="1"/>
  <c r="X269" i="1" s="1"/>
  <c r="T240" i="1"/>
  <c r="W240" i="1" s="1"/>
  <c r="X240" i="1" s="1"/>
  <c r="T238" i="1"/>
  <c r="W238" i="1" s="1"/>
  <c r="X238" i="1" s="1"/>
  <c r="T243" i="1"/>
  <c r="W243" i="1" s="1"/>
  <c r="X243" i="1" s="1"/>
  <c r="T258" i="1"/>
  <c r="W258" i="1" s="1"/>
  <c r="X258" i="1" s="1"/>
  <c r="T265" i="1"/>
  <c r="W265" i="1" s="1"/>
  <c r="X265" i="1" s="1"/>
  <c r="T239" i="1"/>
  <c r="W239" i="1" s="1"/>
  <c r="X239" i="1" s="1"/>
  <c r="T246" i="1"/>
  <c r="W246" i="1" s="1"/>
  <c r="X246" i="1" s="1"/>
  <c r="T248" i="1"/>
  <c r="W248" i="1" s="1"/>
  <c r="X248" i="1" s="1"/>
  <c r="T250" i="1"/>
  <c r="T260" i="1"/>
  <c r="W260" i="1" s="1"/>
  <c r="X260" i="1" s="1"/>
  <c r="T251" i="1"/>
  <c r="W251" i="1" s="1"/>
  <c r="X251" i="1" s="1"/>
  <c r="T244" i="1"/>
  <c r="W244" i="1" s="1"/>
  <c r="X244" i="1" s="1"/>
  <c r="T249" i="1"/>
  <c r="W249" i="1" s="1"/>
  <c r="X249" i="1" s="1"/>
  <c r="T261" i="1"/>
  <c r="W261" i="1" s="1"/>
  <c r="X261" i="1" s="1"/>
  <c r="T262" i="1"/>
  <c r="W262" i="1" s="1"/>
  <c r="X262" i="1" s="1"/>
  <c r="T263" i="1"/>
  <c r="W263" i="1" s="1"/>
  <c r="X263" i="1" s="1"/>
  <c r="T264" i="1"/>
  <c r="W264" i="1" s="1"/>
  <c r="X264" i="1" s="1"/>
  <c r="T245" i="1"/>
  <c r="W245" i="1" s="1"/>
  <c r="X245" i="1" s="1"/>
  <c r="T247" i="1"/>
  <c r="W247" i="1" s="1"/>
  <c r="X247" i="1" s="1"/>
  <c r="T266" i="1"/>
  <c r="W266" i="1" s="1"/>
  <c r="X266" i="1" s="1"/>
  <c r="T237" i="1"/>
  <c r="W237" i="1" s="1"/>
  <c r="X237" i="1" s="1"/>
  <c r="T242" i="1"/>
  <c r="W242" i="1" s="1"/>
  <c r="X242" i="1" s="1"/>
  <c r="T267" i="1"/>
  <c r="W267" i="1" s="1"/>
  <c r="X267" i="1" s="1"/>
  <c r="T268" i="1"/>
  <c r="W268" i="1" s="1"/>
  <c r="X268" i="1" s="1"/>
  <c r="T252" i="1"/>
  <c r="W252" i="1" s="1"/>
  <c r="X252" i="1" s="1"/>
  <c r="T253" i="1"/>
  <c r="W253" i="1" s="1"/>
  <c r="X253" i="1" s="1"/>
  <c r="T254" i="1"/>
  <c r="W254" i="1" s="1"/>
  <c r="X254" i="1" s="1"/>
  <c r="T255" i="1"/>
  <c r="W255" i="1" s="1"/>
  <c r="X255" i="1" s="1"/>
  <c r="T256" i="1"/>
  <c r="W256" i="1" s="1"/>
  <c r="X256" i="1" s="1"/>
  <c r="T31" i="1"/>
  <c r="W31" i="1" s="1"/>
  <c r="X31" i="1" s="1"/>
  <c r="T32" i="1"/>
  <c r="W32" i="1" s="1"/>
  <c r="X32" i="1" s="1"/>
  <c r="T47" i="1"/>
  <c r="W47" i="1" s="1"/>
  <c r="X47" i="1" s="1"/>
  <c r="T61" i="1"/>
  <c r="W61" i="1" s="1"/>
  <c r="X61" i="1" s="1"/>
  <c r="T33" i="1"/>
  <c r="W33" i="1" s="1"/>
  <c r="X33" i="1" s="1"/>
  <c r="T36" i="1"/>
  <c r="W36" i="1" s="1"/>
  <c r="X36" i="1" s="1"/>
  <c r="T270" i="1"/>
  <c r="W270" i="1" s="1"/>
  <c r="X270" i="1" s="1"/>
  <c r="T48" i="1"/>
  <c r="W48" i="1" s="1"/>
  <c r="X48" i="1" s="1"/>
  <c r="T62" i="1"/>
  <c r="W62" i="1" s="1"/>
  <c r="X62" i="1" s="1"/>
  <c r="T29" i="1"/>
  <c r="W29" i="1" s="1"/>
  <c r="X29" i="1" s="1"/>
  <c r="T30" i="1"/>
  <c r="W30" i="1" s="1"/>
  <c r="X30" i="1" s="1"/>
  <c r="T16" i="1"/>
  <c r="W16" i="1" s="1"/>
  <c r="X16" i="1" s="1"/>
  <c r="T12" i="1"/>
  <c r="W12" i="1" s="1"/>
  <c r="X12" i="1" s="1"/>
  <c r="T14" i="1"/>
  <c r="T13" i="1"/>
  <c r="W13" i="1" s="1"/>
  <c r="X13" i="1" s="1"/>
  <c r="T15" i="1"/>
  <c r="W15" i="1" s="1"/>
  <c r="X15" i="1" s="1"/>
  <c r="T17" i="1"/>
  <c r="W17" i="1" s="1"/>
  <c r="X17" i="1" s="1"/>
  <c r="T18" i="1"/>
  <c r="W18" i="1" s="1"/>
  <c r="X18" i="1" s="1"/>
  <c r="T20" i="1"/>
  <c r="W20" i="1" s="1"/>
  <c r="X20" i="1" s="1"/>
  <c r="T19" i="1"/>
  <c r="W19" i="1" s="1"/>
  <c r="X19" i="1" s="1"/>
  <c r="T37" i="1"/>
  <c r="W37" i="1" s="1"/>
  <c r="X37" i="1" s="1"/>
  <c r="W14" i="1" l="1"/>
  <c r="X14" i="1" s="1"/>
  <c r="X271" i="1" s="1"/>
  <c r="O250" i="1"/>
  <c r="S250" i="1" s="1"/>
  <c r="W250" i="1" s="1"/>
  <c r="X2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tc={B8E7AAB4-B401-4EB1-AB5C-9AD364280EA2}</author>
    <author>tc={1CF981BE-70D5-42C3-966C-BF15F189DAFF}</author>
    <author>tc={035EE1E6-D8FC-4BFC-9D3F-36BF566D9D9F}</author>
    <author>tc={8B68DF5C-69E8-4862-8106-82C92F2C10AA}</author>
    <author>tc={7768C062-7765-41BA-832F-7614E117C954}</author>
    <author>tc={D1601295-D762-4A64-8A0B-BDC7284314E5}</author>
    <author>tc={D13E86D9-F320-4367-BC93-19279A6EA513}</author>
    <author>tc={720BD701-CB2A-4AD6-BE35-D145D71FCEE6}</author>
  </authors>
  <commentList>
    <comment ref="C249" authorId="0" shapeId="0" xr:uid="{B8E7AAB4-B401-4EB1-AB5C-9AD364280EA2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Har fået tons gødning og tørstofprocent som slagtesvin</t>
      </text>
    </comment>
    <comment ref="C250" authorId="1" shapeId="0" xr:uid="{1CF981BE-70D5-42C3-966C-BF15F189DAFF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Har fået tons gødning og tørstofprocent som slagtesvin</t>
      </text>
    </comment>
    <comment ref="C251" authorId="2" shapeId="0" xr:uid="{035EE1E6-D8FC-4BFC-9D3F-36BF566D9D9F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Har fået tons gødning og tørstofprocent som slagtesvin</t>
      </text>
    </comment>
    <comment ref="C252" authorId="3" shapeId="0" xr:uid="{8B68DF5C-69E8-4862-8106-82C92F2C10AA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Har fået tons gødning og tørstofprocent som slagtesvin</t>
      </text>
    </comment>
    <comment ref="C253" authorId="4" shapeId="0" xr:uid="{7768C062-7765-41BA-832F-7614E117C954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Har fået tons gødning og tørstofprocent som slagtesvin</t>
      </text>
    </comment>
    <comment ref="C254" authorId="5" shapeId="0" xr:uid="{D1601295-D762-4A64-8A0B-BDC7284314E5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Har fået tons gødning og tørstofprocent som slagtesvin</t>
      </text>
    </comment>
    <comment ref="C255" authorId="6" shapeId="0" xr:uid="{D13E86D9-F320-4367-BC93-19279A6EA513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Har fået tons gødning og tørstofprocent som slagtesvin</t>
      </text>
    </comment>
    <comment ref="C256" authorId="7" shapeId="0" xr:uid="{720BD701-CB2A-4AD6-BE35-D145D71FCEE6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Har fået tons gødning og tørstofprocent som slagtesvin</t>
      </text>
    </comment>
  </commentList>
</comments>
</file>

<file path=xl/sharedStrings.xml><?xml version="1.0" encoding="utf-8"?>
<sst xmlns="http://schemas.openxmlformats.org/spreadsheetml/2006/main" count="1687" uniqueCount="250">
  <si>
    <t>Bilag 2 - Metanudslip fra stald og lager</t>
  </si>
  <si>
    <t>Dyrekatagori</t>
  </si>
  <si>
    <t>Svin</t>
  </si>
  <si>
    <t>Dyretyper</t>
  </si>
  <si>
    <t>Mink</t>
  </si>
  <si>
    <t>Får</t>
  </si>
  <si>
    <t>Mohairgeder</t>
  </si>
  <si>
    <t>Kødgeder</t>
  </si>
  <si>
    <t>Malkegeder</t>
  </si>
  <si>
    <t>Staldtype</t>
  </si>
  <si>
    <t>Bindestald med grebning</t>
  </si>
  <si>
    <t>Bindestald med riste</t>
  </si>
  <si>
    <t>Sengestald med fast gulv</t>
  </si>
  <si>
    <t>Sengestald med spalter (kanal, linespil)</t>
  </si>
  <si>
    <t>Dybstrøelse (hele arealet)</t>
  </si>
  <si>
    <t>Dybstrøelse, lang ædeplads med fast gulv</t>
  </si>
  <si>
    <t>Dybstrøelse + kort ædeplads med fast gulv</t>
  </si>
  <si>
    <t>Spaltegulvbokse</t>
  </si>
  <si>
    <t>Sengestald med spaltegulv (kanal, linespil)</t>
  </si>
  <si>
    <t>Dybstrøelse, hele arealet</t>
  </si>
  <si>
    <t>Løsgående, dybstrøelse + fast gulv</t>
  </si>
  <si>
    <t>Løsgående, dybstrøelse + spaltegulv</t>
  </si>
  <si>
    <t>Løsgående, dybstrøelse</t>
  </si>
  <si>
    <t>Individuel opstaldning, delvis spaltegulv</t>
  </si>
  <si>
    <t>Individuel opstaldning, fast gulv</t>
  </si>
  <si>
    <t>Løsgående, delvis spaltegulv</t>
  </si>
  <si>
    <t>Kassestier, delvis spaltegulv</t>
  </si>
  <si>
    <t>Kassestier, fuldspaltegulv</t>
  </si>
  <si>
    <t>Fast gulv</t>
  </si>
  <si>
    <t>Dybstrøelse</t>
  </si>
  <si>
    <t>Drænet gulv + spalter (50/50)</t>
  </si>
  <si>
    <t>Dybstrøelse, opdelt lejeareal</t>
  </si>
  <si>
    <t>Drænet gulv + spalter (33/67)</t>
  </si>
  <si>
    <t>Burhøns, konsumæg, bånd, gylle</t>
  </si>
  <si>
    <t>Gødningstype</t>
  </si>
  <si>
    <t>Strøelsestype</t>
  </si>
  <si>
    <t>Tørstof %</t>
  </si>
  <si>
    <t>Gødning (s) pr. dyr (ton)</t>
  </si>
  <si>
    <t>Gødning (g) pr. dyr (ton)</t>
  </si>
  <si>
    <t>VS_housing</t>
  </si>
  <si>
    <t>VS_grazing</t>
  </si>
  <si>
    <t>Kvæg</t>
  </si>
  <si>
    <t>Heste</t>
  </si>
  <si>
    <t>Høns af æglægningstype</t>
  </si>
  <si>
    <t>Hjortedyr</t>
  </si>
  <si>
    <t>Geder</t>
  </si>
  <si>
    <t>1 årsko uden opdræt, malkekvæg, tung race</t>
  </si>
  <si>
    <t>Mink, 1 årstæve</t>
  </si>
  <si>
    <t>1 årsopdræt (kvier/stude 6 mdr. - kælvning (27 mdr)/slagtning, tung race)</t>
  </si>
  <si>
    <t>1 årsopdræt (småkalv 0-6 mdr., tung race)</t>
  </si>
  <si>
    <t>1 stk. slagtekalve, 6 mdr. - slagtning (440 kg), tung race.</t>
  </si>
  <si>
    <t>1 årsko uden opdræt, malkekvæg, Jersey</t>
  </si>
  <si>
    <t>1 stk. slagtekalv, 0-6 mdr., tung race.</t>
  </si>
  <si>
    <t>1 årsammeko uden opdræt (over 600 kg)</t>
  </si>
  <si>
    <t>1 årsammeko uden opdræt (400-600 kg)</t>
  </si>
  <si>
    <t>Antal producerede FRATS-svin</t>
  </si>
  <si>
    <t>Heste, 1 årsdyr, vægt 300 kg - under 500 kg</t>
  </si>
  <si>
    <t>Heste, 1 årsdyr, vægt 500 kg - under 700 kg</t>
  </si>
  <si>
    <t>Får, 1 moderdyr med afkom</t>
  </si>
  <si>
    <t>1 årsopdræt (kvier/stude 6 mdr. - kælvning (25 mdr)/slagtning, Jersey)</t>
  </si>
  <si>
    <t>1 årsopdræt (småkalv 0-6 mdr., Jersey)</t>
  </si>
  <si>
    <t>Kalkuner, tunge hanner, produktionstid 147 dage</t>
  </si>
  <si>
    <t>1 årsammeko uden opdræt (under 400 kg)</t>
  </si>
  <si>
    <t>Heste, 1 årsdyr, vægt under 300 kg</t>
  </si>
  <si>
    <t>Økologiske slagtekyllinger, 63 dage</t>
  </si>
  <si>
    <t>Ænder, produktionstid 52 dage</t>
  </si>
  <si>
    <t>1 stk. slagtekalve 6 mdr. - slagtning (328 kg), Jersey.</t>
  </si>
  <si>
    <t>Kalkuner, tunge hunner, produktionstid 112 dage</t>
  </si>
  <si>
    <t>Heste, 1 årsdyr, vægt 700 kg og derover</t>
  </si>
  <si>
    <t>1 stk. slagtekalv, 0-6 mdr., Jersey.</t>
  </si>
  <si>
    <t>Malkegeder, 1 moderdyr med afkom</t>
  </si>
  <si>
    <t>1 avlstyr (1 årsdyr), tung race, over 440 kg</t>
  </si>
  <si>
    <t>Kødgeder, 1 moderdyr med afkom</t>
  </si>
  <si>
    <t>Gæs, produktionstid 91 dage</t>
  </si>
  <si>
    <t>Mohairged, 1 moderdyr med afkom</t>
  </si>
  <si>
    <t>1 avlstyr (1 årsdyr), Jersey, over 328 kg</t>
  </si>
  <si>
    <t>Pelsdyr, andre staldsystemer (antal DE)</t>
  </si>
  <si>
    <t>Sengestald med spalter (kanal, bagskyl eller ringk</t>
  </si>
  <si>
    <t>Toklimastald, delvis spaltegulv</t>
  </si>
  <si>
    <t>Kødædende pelsdyr, bure, gødn.rende, ugentlig tømn</t>
  </si>
  <si>
    <t>Sengestald med spaltegulv (kanal, bagskyl eller ri</t>
  </si>
  <si>
    <t>Delvis spaltegulv, 50-75% fast gulv</t>
  </si>
  <si>
    <t>Sengestald, fast drænet gulv med skraber og ajleaf</t>
  </si>
  <si>
    <t>Produktionstid 32 dage</t>
  </si>
  <si>
    <t>Produktionstid 35 dage</t>
  </si>
  <si>
    <t>Delvis splategulv med 33-49% fast gulv</t>
  </si>
  <si>
    <t>Dybstrøelse, lang ædeplads med spalter (kanal, bag</t>
  </si>
  <si>
    <t>1 voksen årshest, 300 kg - mindre end 500 kg</t>
  </si>
  <si>
    <t>1 voksen årshest, 500 kg - mindre end 700 kg</t>
  </si>
  <si>
    <t>Burhøns, konsumæg, bånd, fast gødning</t>
  </si>
  <si>
    <t>Dybstrøelse, lang ædeplads med spalter (kanal, lin</t>
  </si>
  <si>
    <t>Skrabehøner, konsumæg, fler-etagesystem med gødnin</t>
  </si>
  <si>
    <t>Økologiske, konsumæg, gulvdrift + fler-etage bånd</t>
  </si>
  <si>
    <t>Rugeæg (hpr-høner), gulvdrift og gødningskummer</t>
  </si>
  <si>
    <t>Rugeæg (hpr-høner), gulvdrift + gødningskummer</t>
  </si>
  <si>
    <t>Delvis spaltegulv med 50-75% fast gulv</t>
  </si>
  <si>
    <t>Produktionstid 40 dage</t>
  </si>
  <si>
    <t>Kødædende pelsdyr, bure, fast gødning i gødn.rende</t>
  </si>
  <si>
    <t>Konsum, Gulvdrift, produktionstid 118 dage</t>
  </si>
  <si>
    <t>Skrabehøner, konsumæg, gulvdrift + gødningskummer</t>
  </si>
  <si>
    <t>1 voksen årshest, under 300 kg</t>
  </si>
  <si>
    <t>Dybstrøelse, kort ædeplads med fast gulv</t>
  </si>
  <si>
    <t>Økologiske, konsumæg, gulvdrift + gødningskumme</t>
  </si>
  <si>
    <t>Friland</t>
  </si>
  <si>
    <t>Friland, konsumæg, gulvdrift fler-etagesystem</t>
  </si>
  <si>
    <t>Fritgående, konsumæg, gulvdrift + gødningskummer</t>
  </si>
  <si>
    <t>Rugeæg (hønniker, Hpr), gulvdrift, prod. 119 dage</t>
  </si>
  <si>
    <t>1 voksen årshest, 700 kg og derover</t>
  </si>
  <si>
    <t>Konsum, Bure, Produktionstid 118 dage</t>
  </si>
  <si>
    <t>Sengestald med spaltegulv (kanal, bagskyl el. ring</t>
  </si>
  <si>
    <t>Fritgående, konsumæg, gulvdrift uden gødningskumme</t>
  </si>
  <si>
    <t>Dybstrøelse, + kort ædeplads med fast gulv</t>
  </si>
  <si>
    <t>Skrabekyllinger, 44 dage</t>
  </si>
  <si>
    <t>Produktionstid 30 dage</t>
  </si>
  <si>
    <t>Rugeæg (hpr), gulvdrift, produktionstid 119 dage</t>
  </si>
  <si>
    <t>Dybstrøelse, lang ædeplads, fast drænet gulv med s</t>
  </si>
  <si>
    <t>Dybstrøelse hele arealet+kort ædeplads,fast gulv</t>
  </si>
  <si>
    <t>Dybstrøelse, lang ædeplads, spalter(kanal, linespil)</t>
  </si>
  <si>
    <t>Dybstrøelse,lang ædeplads,spalter(kanal,bagskyl/ringkanal)</t>
  </si>
  <si>
    <t>Dybstrøelse, lang ædeplads,fast gulv</t>
  </si>
  <si>
    <t>Sengestald, fast drænet gulv med skaber og ajleafl</t>
  </si>
  <si>
    <t>Kvæggylle</t>
  </si>
  <si>
    <t>Svinegylle</t>
  </si>
  <si>
    <t>Minkgylle</t>
  </si>
  <si>
    <t>Fast gødning</t>
  </si>
  <si>
    <t>Anden husdyrgødning</t>
  </si>
  <si>
    <t>Fjerkrægylle</t>
  </si>
  <si>
    <t>Ajle</t>
  </si>
  <si>
    <t>Gæs, produktionstid 91 dage (100 stk)</t>
  </si>
  <si>
    <t xml:space="preserve">Kalkuner, tunge hunner, produktionstid 112 dage </t>
  </si>
  <si>
    <t xml:space="preserve">producerede skrabekyllinger, 56 dage </t>
  </si>
  <si>
    <t xml:space="preserve">producerede slagtekyllinger, 30 dage </t>
  </si>
  <si>
    <t>Dage på græs, Konventionel</t>
  </si>
  <si>
    <t>Dage på græs, Økologisk</t>
  </si>
  <si>
    <t>Rugeæg (hønniker, HPR)</t>
  </si>
  <si>
    <r>
      <t>Ænder, produktionstid 52 dage</t>
    </r>
    <r>
      <rPr>
        <sz val="11"/>
        <color rgb="FFFF0000"/>
        <rFont val="Calibri"/>
        <family val="2"/>
        <scheme val="minor"/>
      </rPr>
      <t xml:space="preserve"> </t>
    </r>
  </si>
  <si>
    <t xml:space="preserve">Økologiske slagtekyllinger, 63 dage </t>
  </si>
  <si>
    <t>producerede slagtekyllinger, 40 dage</t>
  </si>
  <si>
    <t>Rugeæg (HPR-høner)</t>
  </si>
  <si>
    <t>producerede slagtekyllinger, 32 dage</t>
  </si>
  <si>
    <t>producerede slagtekyllinger, 35 dage</t>
  </si>
  <si>
    <t xml:space="preserve">Burhøns, konsumæg </t>
  </si>
  <si>
    <t xml:space="preserve">Skrabehøner, konsumæg </t>
  </si>
  <si>
    <t xml:space="preserve">Økologiske, konsumæg, </t>
  </si>
  <si>
    <t xml:space="preserve">Rugeæg (hpr-høner), </t>
  </si>
  <si>
    <r>
      <t>Hønniker, konsum</t>
    </r>
    <r>
      <rPr>
        <sz val="11"/>
        <color rgb="FFFF0000"/>
        <rFont val="Calibri"/>
        <family val="2"/>
        <scheme val="minor"/>
      </rPr>
      <t xml:space="preserve"> </t>
    </r>
  </si>
  <si>
    <t xml:space="preserve">Fritgående, konsumæg, </t>
  </si>
  <si>
    <t xml:space="preserve">Hønniker, konsum </t>
  </si>
  <si>
    <t xml:space="preserve">Hønniker, Hpr </t>
  </si>
  <si>
    <t>Fjerkræ</t>
  </si>
  <si>
    <t xml:space="preserve">*Gul markerer at staldtypen er dubleret så der er en kolonne for hhv. gødning og strøelse </t>
  </si>
  <si>
    <t>IPCC 2006, Tabel 10A4-10A9</t>
  </si>
  <si>
    <t>Kilde:</t>
  </si>
  <si>
    <t>registerdata</t>
  </si>
  <si>
    <t>Staldtype fordeling</t>
  </si>
  <si>
    <t>Løsdrift / boks/ Bur</t>
  </si>
  <si>
    <t>Sengestald</t>
  </si>
  <si>
    <t>Bindestald</t>
  </si>
  <si>
    <t>Løsdrift / spalter</t>
  </si>
  <si>
    <t>Løsdrift / boks</t>
  </si>
  <si>
    <t>Fordeling af dyrtyper</t>
  </si>
  <si>
    <t>Geder / får</t>
  </si>
  <si>
    <t>Hjortdyr</t>
  </si>
  <si>
    <t>Avlstyr</t>
  </si>
  <si>
    <t>Ammekøer</t>
  </si>
  <si>
    <t>Årsko, Malkekvæg</t>
  </si>
  <si>
    <t>Kvier</t>
  </si>
  <si>
    <t>Småkalve</t>
  </si>
  <si>
    <t>Pelsdyr</t>
  </si>
  <si>
    <t>Årsso</t>
  </si>
  <si>
    <t>FRATS-Svin</t>
  </si>
  <si>
    <t>Sl. Svin</t>
  </si>
  <si>
    <t>Smågrise</t>
  </si>
  <si>
    <t>smågrise</t>
  </si>
  <si>
    <t>Tørstof %2</t>
  </si>
  <si>
    <t>Rækkemærkater</t>
  </si>
  <si>
    <t>Hovedtotal</t>
  </si>
  <si>
    <t>Kolonnemærkater</t>
  </si>
  <si>
    <t>Indsæt antal af dyr</t>
  </si>
  <si>
    <t>Overfør til regnskab</t>
  </si>
  <si>
    <r>
      <t>B</t>
    </r>
    <r>
      <rPr>
        <b/>
        <vertAlign val="subscript"/>
        <sz val="11"/>
        <rFont val="Calibri"/>
        <family val="2"/>
        <scheme val="minor"/>
      </rPr>
      <t>0</t>
    </r>
  </si>
  <si>
    <r>
      <t>CH</t>
    </r>
    <r>
      <rPr>
        <b/>
        <vertAlign val="subscript"/>
        <sz val="11"/>
        <rFont val="Calibri"/>
        <family val="2"/>
        <scheme val="minor"/>
      </rPr>
      <t>4</t>
    </r>
    <r>
      <rPr>
        <b/>
        <sz val="11"/>
        <rFont val="Calibri"/>
        <family val="2"/>
        <scheme val="minor"/>
      </rPr>
      <t xml:space="preserve"> pr. dyr (Kg)</t>
    </r>
  </si>
  <si>
    <t>Dyr_Kode</t>
  </si>
  <si>
    <t>Antal dyr i Kommunen 2018</t>
  </si>
  <si>
    <r>
      <t>Total udledning af CH</t>
    </r>
    <r>
      <rPr>
        <b/>
        <vertAlign val="subscript"/>
        <sz val="11"/>
        <rFont val="Calibri"/>
        <family val="2"/>
        <scheme val="minor"/>
      </rPr>
      <t>4</t>
    </r>
    <r>
      <rPr>
        <b/>
        <sz val="11"/>
        <rFont val="Calibri"/>
        <family val="2"/>
        <scheme val="minor"/>
      </rPr>
      <t xml:space="preserve"> (ton) 2018</t>
    </r>
  </si>
  <si>
    <t>Delvis spaltegulv, 25-49% fast gulv</t>
  </si>
  <si>
    <t>Tier II Lund et al. 2019 Normtal (http://anis.au.dk/normtal)</t>
  </si>
  <si>
    <t>1 årsso m. 33,3 grise til 6,6 kg, andel fra farestald.</t>
  </si>
  <si>
    <t>1 årsso m. 33,3 grise til 6,6 kg, andel fra løbe- og drægtighedsstald</t>
  </si>
  <si>
    <t>1 årsso m. 33,3 grise til 6,6 kg,andel fra løbe- og drægtighedsstald</t>
  </si>
  <si>
    <t>Friland, fareperiode</t>
  </si>
  <si>
    <t>Tier II NIR Annex 3D-9 2020 (2018)</t>
  </si>
  <si>
    <t>Formler NIR 2020 (2018) s 387</t>
  </si>
  <si>
    <t>MCF %</t>
  </si>
  <si>
    <t>Annex 3D 15. IPCC 2006 Tabel 10.17</t>
  </si>
  <si>
    <t>NE</t>
  </si>
  <si>
    <t>Høns af slagtetype</t>
  </si>
  <si>
    <t>Gæs</t>
  </si>
  <si>
    <t>Kalkuner</t>
  </si>
  <si>
    <t>Ænder</t>
  </si>
  <si>
    <t>Andre ræve eller ræve, andre staldsystemer</t>
  </si>
  <si>
    <t>Ræve</t>
  </si>
  <si>
    <t>Antal producerede slagtesvin, 31-110 kg</t>
  </si>
  <si>
    <t>Antal producerede smågrise, fra 6,8 til 31 kg</t>
  </si>
  <si>
    <t>Hjorte &gt; 15 mdr,</t>
  </si>
  <si>
    <t>Hinder &gt; 15 mdr,</t>
  </si>
  <si>
    <t>Unge hjorte 3-15 mdr,</t>
  </si>
  <si>
    <t xml:space="preserve">Unge hinder3-15 mdr, </t>
  </si>
  <si>
    <t>Årshind</t>
  </si>
  <si>
    <t>Dådyr</t>
  </si>
  <si>
    <t>Hjorte &gt; 15 mdr,, 10 stk,</t>
  </si>
  <si>
    <t>Hinder &gt; 15 mdr,, 10 stk,</t>
  </si>
  <si>
    <t>Unge hjorte 3-15 mdr,, 10 stk,</t>
  </si>
  <si>
    <t>Unge hinder 3-15 mdr,, 10 stk,</t>
  </si>
  <si>
    <t>Årshind, 1 stk,</t>
  </si>
  <si>
    <t>Dådyr, 1 stk,</t>
  </si>
  <si>
    <t>Friland, konsumæg</t>
  </si>
  <si>
    <t>Økologiske, konsumæg</t>
  </si>
  <si>
    <t>Friland, konsumæg, gulv+fler etage m bånd</t>
  </si>
  <si>
    <t>Økologiske, konsumæg, gulv+fler-etage m bånd</t>
  </si>
  <si>
    <t>producerede slagtekyllinger, levende vægt ved slagtning 1,85 kg</t>
  </si>
  <si>
    <t>producerede slagtekyllinger, levende vægt ved slagtning 2,13 kg</t>
  </si>
  <si>
    <t>producerede slagtekyllinger, levende vægt ved slagtning, 3,07 kg</t>
  </si>
  <si>
    <t>producerede slagtekyllinger, levende vægt ved slagtning 1,67 kg</t>
  </si>
  <si>
    <t>Levende vægt ved slagtning</t>
  </si>
  <si>
    <t>Levende vægt ved slagtning, 3,07 kg</t>
  </si>
  <si>
    <t>1 avlstyr (1årsdyr), tung race, over 440 kg</t>
  </si>
  <si>
    <t>Dybstrøelse, lang ædepladsmedspalter (kanal, bag</t>
  </si>
  <si>
    <t>Alje</t>
  </si>
  <si>
    <t>Andet</t>
  </si>
  <si>
    <t>Agerhøns, avlsdyr, 100 stk,</t>
  </si>
  <si>
    <t>Struds, kylling, 0-3 mdr,, 100 producerede dyr</t>
  </si>
  <si>
    <t>Struds, kylling, 3-14 mdr,, 10 producerede dyr</t>
  </si>
  <si>
    <t>Struds, voksen, hun, 10 årsdyr</t>
  </si>
  <si>
    <t>Struds, voksen, han, 10 årsdyr</t>
  </si>
  <si>
    <t>Stald_kode</t>
  </si>
  <si>
    <t>producerede slagtekyllinger, 45 dage</t>
  </si>
  <si>
    <t>Produktionstid 45 dage</t>
  </si>
  <si>
    <t>Høns afslagtetype</t>
  </si>
  <si>
    <t>Kode_stald+dyr</t>
  </si>
  <si>
    <t>Sum af Antal dyr i Kommunen 2018</t>
  </si>
  <si>
    <t>Sum af Total udledning af CH4 (ton) 2018</t>
  </si>
  <si>
    <t>Gødning (g) total (ton)</t>
  </si>
  <si>
    <t xml:space="preserve">Chinchilla </t>
  </si>
  <si>
    <t xml:space="preserve">Chincilla, 100 stk. </t>
  </si>
  <si>
    <t>Bilag 2 - Metan fra staldsystemer</t>
  </si>
  <si>
    <t>Antal af dyr i kommunen i 2018 [stk.]</t>
  </si>
  <si>
    <r>
      <t>Udledning af CH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, 2018 [ton]</t>
    </r>
  </si>
  <si>
    <t xml:space="preserve">Slagtekalve 0-6 mdr. </t>
  </si>
  <si>
    <t xml:space="preserve">Slagtekalve 6 mdr.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</si>
</sst>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0" xfId="0" applyFill="1"/>
    <xf numFmtId="0" fontId="0" fillId="0" borderId="1" xfId="0" applyFill="1" applyBorder="1" applyAlignment="1"/>
    <xf numFmtId="4" fontId="0" fillId="2" borderId="0" xfId="0" applyNumberFormat="1" applyFill="1"/>
    <xf numFmtId="4" fontId="0" fillId="0" borderId="0" xfId="0" applyNumberFormat="1"/>
    <xf numFmtId="4" fontId="0" fillId="0" borderId="1" xfId="0" applyNumberFormat="1" applyBorder="1"/>
    <xf numFmtId="0" fontId="0" fillId="0" borderId="0" xfId="0" applyFill="1" applyAlignment="1">
      <alignment vertical="center"/>
    </xf>
    <xf numFmtId="4" fontId="0" fillId="0" borderId="1" xfId="0" applyNumberFormat="1" applyBorder="1" applyAlignment="1"/>
    <xf numFmtId="3" fontId="0" fillId="2" borderId="0" xfId="0" applyNumberFormat="1" applyFill="1"/>
    <xf numFmtId="3" fontId="0" fillId="0" borderId="0" xfId="0" applyNumberFormat="1"/>
    <xf numFmtId="3" fontId="0" fillId="2" borderId="1" xfId="0" applyNumberFormat="1" applyFill="1" applyBorder="1" applyAlignment="1"/>
    <xf numFmtId="4" fontId="0" fillId="0" borderId="1" xfId="0" applyNumberFormat="1" applyFill="1" applyBorder="1" applyAlignment="1"/>
    <xf numFmtId="4" fontId="0" fillId="0" borderId="1" xfId="0" applyNumberFormat="1" applyFill="1" applyBorder="1"/>
    <xf numFmtId="0" fontId="0" fillId="0" borderId="1" xfId="0" applyFill="1" applyBorder="1"/>
    <xf numFmtId="4" fontId="0" fillId="0" borderId="2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9" fontId="3" fillId="0" borderId="0" xfId="0" applyNumberFormat="1" applyFont="1" applyAlignment="1">
      <alignment horizontal="left"/>
    </xf>
    <xf numFmtId="4" fontId="0" fillId="6" borderId="1" xfId="0" applyNumberFormat="1" applyFill="1" applyBorder="1" applyAlignment="1">
      <alignment horizontal="right"/>
    </xf>
    <xf numFmtId="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" fontId="0" fillId="0" borderId="18" xfId="0" applyNumberFormat="1" applyBorder="1"/>
    <xf numFmtId="0" fontId="0" fillId="0" borderId="3" xfId="0" applyFill="1" applyBorder="1" applyAlignment="1"/>
    <xf numFmtId="0" fontId="0" fillId="0" borderId="3" xfId="0" applyBorder="1" applyAlignment="1"/>
    <xf numFmtId="0" fontId="0" fillId="4" borderId="3" xfId="0" applyFill="1" applyBorder="1" applyAlignment="1"/>
    <xf numFmtId="0" fontId="0" fillId="0" borderId="3" xfId="0" applyBorder="1"/>
    <xf numFmtId="0" fontId="0" fillId="0" borderId="22" xfId="0" applyFill="1" applyBorder="1" applyAlignment="1"/>
    <xf numFmtId="4" fontId="0" fillId="0" borderId="22" xfId="0" applyNumberFormat="1" applyBorder="1"/>
    <xf numFmtId="0" fontId="0" fillId="5" borderId="0" xfId="0" applyFill="1"/>
    <xf numFmtId="0" fontId="0" fillId="5" borderId="0" xfId="0" applyFill="1" applyBorder="1"/>
    <xf numFmtId="3" fontId="0" fillId="5" borderId="1" xfId="0" applyNumberFormat="1" applyFill="1" applyBorder="1"/>
    <xf numFmtId="3" fontId="0" fillId="5" borderId="4" xfId="0" applyNumberFormat="1" applyFill="1" applyBorder="1"/>
    <xf numFmtId="3" fontId="0" fillId="5" borderId="11" xfId="0" applyNumberFormat="1" applyFill="1" applyBorder="1"/>
    <xf numFmtId="3" fontId="0" fillId="5" borderId="5" xfId="0" applyNumberFormat="1" applyFill="1" applyBorder="1"/>
    <xf numFmtId="3" fontId="0" fillId="5" borderId="12" xfId="0" applyNumberFormat="1" applyFill="1" applyBorder="1"/>
    <xf numFmtId="3" fontId="0" fillId="5" borderId="17" xfId="0" applyNumberFormat="1" applyFill="1" applyBorder="1"/>
    <xf numFmtId="3" fontId="0" fillId="5" borderId="8" xfId="0" applyNumberFormat="1" applyFill="1" applyBorder="1"/>
    <xf numFmtId="3" fontId="0" fillId="5" borderId="9" xfId="0" applyNumberFormat="1" applyFill="1" applyBorder="1"/>
    <xf numFmtId="3" fontId="0" fillId="5" borderId="10" xfId="0" applyNumberFormat="1" applyFill="1" applyBorder="1"/>
    <xf numFmtId="3" fontId="0" fillId="5" borderId="24" xfId="0" applyNumberFormat="1" applyFill="1" applyBorder="1" applyAlignment="1">
      <alignment horizontal="left"/>
    </xf>
    <xf numFmtId="3" fontId="0" fillId="5" borderId="25" xfId="0" applyNumberFormat="1" applyFill="1" applyBorder="1" applyAlignment="1">
      <alignment horizontal="left"/>
    </xf>
    <xf numFmtId="3" fontId="0" fillId="5" borderId="18" xfId="0" applyNumberFormat="1" applyFill="1" applyBorder="1" applyAlignment="1">
      <alignment horizontal="left"/>
    </xf>
    <xf numFmtId="3" fontId="0" fillId="5" borderId="17" xfId="0" applyNumberFormat="1" applyFill="1" applyBorder="1" applyAlignment="1">
      <alignment horizontal="left"/>
    </xf>
    <xf numFmtId="0" fontId="0" fillId="5" borderId="1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3" fontId="0" fillId="5" borderId="13" xfId="0" applyNumberFormat="1" applyFill="1" applyBorder="1"/>
    <xf numFmtId="0" fontId="0" fillId="5" borderId="26" xfId="0" applyFill="1" applyBorder="1"/>
    <xf numFmtId="3" fontId="0" fillId="5" borderId="27" xfId="0" applyNumberFormat="1" applyFill="1" applyBorder="1" applyAlignment="1">
      <alignment horizontal="left"/>
    </xf>
    <xf numFmtId="3" fontId="0" fillId="5" borderId="26" xfId="0" applyNumberFormat="1" applyFill="1" applyBorder="1" applyAlignment="1">
      <alignment horizontal="left"/>
    </xf>
    <xf numFmtId="0" fontId="0" fillId="5" borderId="13" xfId="0" applyFill="1" applyBorder="1"/>
    <xf numFmtId="0" fontId="0" fillId="5" borderId="5" xfId="0" applyFill="1" applyBorder="1"/>
    <xf numFmtId="0" fontId="0" fillId="5" borderId="12" xfId="0" applyFill="1" applyBorder="1"/>
    <xf numFmtId="3" fontId="0" fillId="5" borderId="14" xfId="0" applyNumberFormat="1" applyFill="1" applyBorder="1"/>
    <xf numFmtId="3" fontId="0" fillId="5" borderId="15" xfId="0" applyNumberFormat="1" applyFill="1" applyBorder="1"/>
    <xf numFmtId="3" fontId="0" fillId="5" borderId="28" xfId="0" applyNumberFormat="1" applyFill="1" applyBorder="1"/>
    <xf numFmtId="3" fontId="0" fillId="5" borderId="22" xfId="0" applyNumberFormat="1" applyFill="1" applyBorder="1"/>
    <xf numFmtId="0" fontId="0" fillId="7" borderId="1" xfId="0" applyFill="1" applyBorder="1"/>
    <xf numFmtId="0" fontId="4" fillId="0" borderId="0" xfId="0" applyFont="1" applyFill="1" applyAlignment="1">
      <alignment vertical="center"/>
    </xf>
    <xf numFmtId="3" fontId="0" fillId="7" borderId="16" xfId="0" applyNumberFormat="1" applyFill="1" applyBorder="1"/>
    <xf numFmtId="3" fontId="0" fillId="7" borderId="11" xfId="0" applyNumberFormat="1" applyFill="1" applyBorder="1"/>
    <xf numFmtId="3" fontId="0" fillId="7" borderId="29" xfId="0" applyNumberFormat="1" applyFill="1" applyBorder="1"/>
    <xf numFmtId="0" fontId="0" fillId="0" borderId="22" xfId="0" applyFill="1" applyBorder="1"/>
    <xf numFmtId="4" fontId="0" fillId="0" borderId="22" xfId="0" applyNumberFormat="1" applyFill="1" applyBorder="1" applyAlignment="1"/>
    <xf numFmtId="4" fontId="0" fillId="0" borderId="22" xfId="0" applyNumberFormat="1" applyBorder="1" applyAlignment="1"/>
    <xf numFmtId="0" fontId="4" fillId="0" borderId="1" xfId="0" applyFont="1" applyFill="1" applyBorder="1" applyAlignment="1"/>
    <xf numFmtId="4" fontId="0" fillId="7" borderId="2" xfId="0" applyNumberFormat="1" applyFill="1" applyBorder="1" applyAlignment="1"/>
    <xf numFmtId="4" fontId="0" fillId="0" borderId="0" xfId="0" applyNumberFormat="1" applyFill="1"/>
    <xf numFmtId="0" fontId="5" fillId="3" borderId="1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4" fontId="5" fillId="3" borderId="7" xfId="0" applyNumberFormat="1" applyFont="1" applyFill="1" applyBorder="1" applyAlignment="1">
      <alignment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vertical="center" wrapText="1"/>
    </xf>
    <xf numFmtId="0" fontId="0" fillId="0" borderId="1" xfId="0" applyBorder="1" applyAlignment="1"/>
    <xf numFmtId="4" fontId="0" fillId="7" borderId="2" xfId="0" applyNumberFormat="1" applyFill="1" applyBorder="1" applyAlignment="1">
      <alignment vertical="center"/>
    </xf>
    <xf numFmtId="0" fontId="0" fillId="4" borderId="1" xfId="0" applyFill="1" applyBorder="1" applyAlignment="1"/>
    <xf numFmtId="0" fontId="0" fillId="0" borderId="1" xfId="0" applyBorder="1"/>
    <xf numFmtId="4" fontId="0" fillId="8" borderId="2" xfId="0" applyNumberFormat="1" applyFill="1" applyBorder="1" applyAlignment="1">
      <alignment horizontal="right"/>
    </xf>
    <xf numFmtId="4" fontId="0" fillId="7" borderId="23" xfId="0" applyNumberFormat="1" applyFill="1" applyBorder="1" applyAlignment="1">
      <alignment vertical="center"/>
    </xf>
    <xf numFmtId="0" fontId="0" fillId="5" borderId="1" xfId="0" applyFill="1" applyBorder="1" applyAlignment="1"/>
    <xf numFmtId="4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/>
    <xf numFmtId="4" fontId="0" fillId="6" borderId="1" xfId="0" applyNumberFormat="1" applyFill="1" applyBorder="1"/>
    <xf numFmtId="0" fontId="0" fillId="0" borderId="1" xfId="0" applyNumberFormat="1" applyBorder="1" applyAlignment="1"/>
    <xf numFmtId="0" fontId="0" fillId="4" borderId="1" xfId="0" applyNumberFormat="1" applyFill="1" applyBorder="1" applyAlignment="1"/>
    <xf numFmtId="4" fontId="0" fillId="6" borderId="1" xfId="0" applyNumberFormat="1" applyFill="1" applyBorder="1" applyAlignment="1"/>
    <xf numFmtId="4" fontId="0" fillId="6" borderId="1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21" xfId="0" applyBorder="1" applyAlignment="1"/>
    <xf numFmtId="0" fontId="0" fillId="0" borderId="22" xfId="0" applyBorder="1" applyAlignment="1"/>
    <xf numFmtId="4" fontId="0" fillId="0" borderId="22" xfId="0" applyNumberFormat="1" applyFill="1" applyBorder="1"/>
    <xf numFmtId="4" fontId="0" fillId="0" borderId="23" xfId="0" applyNumberFormat="1" applyFill="1" applyBorder="1"/>
    <xf numFmtId="4" fontId="0" fillId="0" borderId="23" xfId="0" applyNumberFormat="1" applyBorder="1"/>
    <xf numFmtId="0" fontId="0" fillId="6" borderId="1" xfId="0" applyFill="1" applyBorder="1" applyAlignment="1"/>
    <xf numFmtId="4" fontId="0" fillId="6" borderId="23" xfId="0" applyNumberFormat="1" applyFill="1" applyBorder="1"/>
    <xf numFmtId="0" fontId="0" fillId="0" borderId="3" xfId="0" applyFill="1" applyBorder="1"/>
    <xf numFmtId="0" fontId="0" fillId="0" borderId="23" xfId="0" applyFill="1" applyBorder="1" applyAlignment="1"/>
    <xf numFmtId="0" fontId="0" fillId="6" borderId="1" xfId="0" applyFill="1" applyBorder="1"/>
    <xf numFmtId="4" fontId="0" fillId="0" borderId="23" xfId="0" applyNumberFormat="1" applyFill="1" applyBorder="1" applyAlignment="1"/>
    <xf numFmtId="4" fontId="0" fillId="0" borderId="23" xfId="0" applyNumberFormat="1" applyBorder="1" applyAlignment="1"/>
    <xf numFmtId="0" fontId="0" fillId="9" borderId="1" xfId="0" applyFill="1" applyBorder="1" applyAlignment="1"/>
    <xf numFmtId="0" fontId="0" fillId="0" borderId="0" xfId="0" applyBorder="1" applyAlignment="1"/>
    <xf numFmtId="0" fontId="0" fillId="0" borderId="23" xfId="0" applyBorder="1" applyAlignment="1"/>
    <xf numFmtId="4" fontId="0" fillId="9" borderId="1" xfId="0" applyNumberFormat="1" applyFill="1" applyBorder="1"/>
    <xf numFmtId="4" fontId="0" fillId="9" borderId="1" xfId="0" applyNumberFormat="1" applyFill="1" applyBorder="1" applyAlignment="1"/>
    <xf numFmtId="0" fontId="0" fillId="5" borderId="0" xfId="0" applyFill="1" applyBorder="1" applyAlignment="1"/>
    <xf numFmtId="3" fontId="0" fillId="5" borderId="0" xfId="0" applyNumberFormat="1" applyFill="1" applyBorder="1" applyAlignment="1"/>
    <xf numFmtId="0" fontId="0" fillId="0" borderId="22" xfId="0" applyNumberFormat="1" applyFill="1" applyBorder="1" applyAlignment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2" borderId="10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114">
    <dxf>
      <numFmt numFmtId="4" formatCode="#,##0.00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4" formatCode="#,##0.0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4" formatCode="#,##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4" formatCode="#,##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4" formatCode="#,##0.00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4" formatCode="#,##0.00"/>
      <fill>
        <patternFill patternType="solid">
          <fgColor indexed="64"/>
          <bgColor rgb="FFFF66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4" formatCode="#,##0.00"/>
      <fill>
        <patternFill patternType="solid">
          <fgColor indexed="64"/>
          <bgColor rgb="FFFF66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fill>
        <patternFill patternType="solid">
          <fgColor indexed="64"/>
          <bgColor theme="9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rgb="FFFF000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fill>
        <patternFill>
          <bgColor theme="7" tint="0.79998168889431442"/>
        </patternFill>
      </fill>
    </dxf>
    <dxf>
      <border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1778455</xdr:colOff>
      <xdr:row>270</xdr:row>
      <xdr:rowOff>9525</xdr:rowOff>
    </xdr:from>
    <xdr:to>
      <xdr:col>4</xdr:col>
      <xdr:colOff>1781175</xdr:colOff>
      <xdr:row>272</xdr:row>
      <xdr:rowOff>14968</xdr:rowOff>
    </xdr:to>
    <xdr:cxnSp macro="">
      <xdr:nvCxnSpPr>
        <xdr:cNvPr id="3" name="Lige pilforbindelse 2">
          <a:extLst>
            <a:ext uri="{FF2B5EF4-FFF2-40B4-BE49-F238E27FC236}">
              <a16:creationId xmlns:a16="http://schemas.microsoft.com/office/drawing/2014/main" id="{CAB62A5C-4CE6-4960-B9FE-A5201873F7B4}"/>
            </a:ext>
          </a:extLst>
        </xdr:cNvPr>
        <xdr:cNvCxnSpPr/>
      </xdr:nvCxnSpPr>
      <xdr:spPr>
        <a:xfrm flipV="1">
          <a:off x="8274505" y="48472725"/>
          <a:ext cx="2720" cy="3864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270</xdr:row>
      <xdr:rowOff>0</xdr:rowOff>
    </xdr:from>
    <xdr:to>
      <xdr:col>14</xdr:col>
      <xdr:colOff>2720</xdr:colOff>
      <xdr:row>272</xdr:row>
      <xdr:rowOff>5443</xdr:rowOff>
    </xdr:to>
    <xdr:cxnSp macro="">
      <xdr:nvCxnSpPr>
        <xdr:cNvPr id="7" name="Lige pilforbindelse 6">
          <a:extLst>
            <a:ext uri="{FF2B5EF4-FFF2-40B4-BE49-F238E27FC236}">
              <a16:creationId xmlns:a16="http://schemas.microsoft.com/office/drawing/2014/main" id="{C99CD533-7BFB-46D3-BD79-CC9E59A4E07F}"/>
            </a:ext>
          </a:extLst>
        </xdr:cNvPr>
        <xdr:cNvCxnSpPr/>
      </xdr:nvCxnSpPr>
      <xdr:spPr>
        <a:xfrm flipV="1">
          <a:off x="15735300" y="48463200"/>
          <a:ext cx="2720" cy="3864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270</xdr:row>
      <xdr:rowOff>0</xdr:rowOff>
    </xdr:from>
    <xdr:to>
      <xdr:col>17</xdr:col>
      <xdr:colOff>2720</xdr:colOff>
      <xdr:row>272</xdr:row>
      <xdr:rowOff>5443</xdr:rowOff>
    </xdr:to>
    <xdr:cxnSp macro="">
      <xdr:nvCxnSpPr>
        <xdr:cNvPr id="8" name="Lige pilforbindelse 7">
          <a:extLst>
            <a:ext uri="{FF2B5EF4-FFF2-40B4-BE49-F238E27FC236}">
              <a16:creationId xmlns:a16="http://schemas.microsoft.com/office/drawing/2014/main" id="{D23B8E62-1E58-4228-AB65-4B6A3CBE1718}"/>
            </a:ext>
          </a:extLst>
        </xdr:cNvPr>
        <xdr:cNvCxnSpPr/>
      </xdr:nvCxnSpPr>
      <xdr:spPr>
        <a:xfrm flipV="1">
          <a:off x="18421350" y="48463200"/>
          <a:ext cx="2720" cy="3864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270</xdr:row>
      <xdr:rowOff>0</xdr:rowOff>
    </xdr:from>
    <xdr:to>
      <xdr:col>19</xdr:col>
      <xdr:colOff>2720</xdr:colOff>
      <xdr:row>272</xdr:row>
      <xdr:rowOff>5443</xdr:rowOff>
    </xdr:to>
    <xdr:cxnSp macro="">
      <xdr:nvCxnSpPr>
        <xdr:cNvPr id="9" name="Lige pilforbindelse 8">
          <a:extLst>
            <a:ext uri="{FF2B5EF4-FFF2-40B4-BE49-F238E27FC236}">
              <a16:creationId xmlns:a16="http://schemas.microsoft.com/office/drawing/2014/main" id="{9E583102-6C9A-40E9-B970-20A1180414A1}"/>
            </a:ext>
          </a:extLst>
        </xdr:cNvPr>
        <xdr:cNvCxnSpPr/>
      </xdr:nvCxnSpPr>
      <xdr:spPr>
        <a:xfrm flipV="1">
          <a:off x="20631150" y="48463200"/>
          <a:ext cx="2720" cy="3864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466725</xdr:colOff>
      <xdr:row>270</xdr:row>
      <xdr:rowOff>0</xdr:rowOff>
    </xdr:from>
    <xdr:to>
      <xdr:col>20</xdr:col>
      <xdr:colOff>469445</xdr:colOff>
      <xdr:row>272</xdr:row>
      <xdr:rowOff>5443</xdr:rowOff>
    </xdr:to>
    <xdr:cxnSp macro="">
      <xdr:nvCxnSpPr>
        <xdr:cNvPr id="10" name="Lige pilforbindelse 9">
          <a:extLst>
            <a:ext uri="{FF2B5EF4-FFF2-40B4-BE49-F238E27FC236}">
              <a16:creationId xmlns:a16="http://schemas.microsoft.com/office/drawing/2014/main" id="{92C831CF-11DD-42B2-B8B6-791526753B9E}"/>
            </a:ext>
          </a:extLst>
        </xdr:cNvPr>
        <xdr:cNvCxnSpPr/>
      </xdr:nvCxnSpPr>
      <xdr:spPr>
        <a:xfrm flipV="1">
          <a:off x="21774150" y="48463200"/>
          <a:ext cx="2720" cy="3864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447675</xdr:colOff>
      <xdr:row>269</xdr:row>
      <xdr:rowOff>190500</xdr:rowOff>
    </xdr:from>
    <xdr:to>
      <xdr:col>21</xdr:col>
      <xdr:colOff>450395</xdr:colOff>
      <xdr:row>271</xdr:row>
      <xdr:rowOff>186418</xdr:rowOff>
    </xdr:to>
    <xdr:cxnSp macro="">
      <xdr:nvCxnSpPr>
        <xdr:cNvPr id="11" name="Lige pilforbindelse 10">
          <a:extLst>
            <a:ext uri="{FF2B5EF4-FFF2-40B4-BE49-F238E27FC236}">
              <a16:creationId xmlns:a16="http://schemas.microsoft.com/office/drawing/2014/main" id="{55610392-D4F5-466C-8482-623F967CDBC6}"/>
            </a:ext>
          </a:extLst>
        </xdr:cNvPr>
        <xdr:cNvCxnSpPr/>
      </xdr:nvCxnSpPr>
      <xdr:spPr>
        <a:xfrm flipV="1">
          <a:off x="22621875" y="48453675"/>
          <a:ext cx="2720" cy="3864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orfatter" refreshedDate="44209.651946412036" createdVersion="6" refreshedVersion="6" minRefreshableVersion="3" recordCount="264" xr:uid="{4A860E47-E03E-4E9A-ABFF-45B75B08F8E3}">
  <cacheSource type="worksheet">
    <worksheetSource name="Tabel1"/>
  </cacheSource>
  <cacheFields count="24">
    <cacheField name="Dyrekatagori" numFmtId="0">
      <sharedItems/>
    </cacheField>
    <cacheField name="Dyr_Kode" numFmtId="0">
      <sharedItems containsString="0" containsBlank="1" containsNumber="1" containsInteger="1" minValue="1101" maxValue="9923"/>
    </cacheField>
    <cacheField name="Dyretyper" numFmtId="0">
      <sharedItems/>
    </cacheField>
    <cacheField name="Fordeling af dyrtyper" numFmtId="0">
      <sharedItems count="18">
        <s v="Fjerkræ"/>
        <s v="Geder / får"/>
        <s v="Heste"/>
        <s v="Hjortdyr"/>
        <s v="Avlstyr"/>
        <s v="Slagterkalve 0-6 mdr. "/>
        <s v="Slagterkalve 6 mdr. "/>
        <s v="Ammekøer"/>
        <s v="Årsko, Malkekvæg"/>
        <s v="Kvier"/>
        <s v="Småkalve"/>
        <s v="Pelsdyr"/>
        <s v="Årsso"/>
        <s v="FRATS-Svin"/>
        <s v="Sl. Svin"/>
        <s v="Smågrise"/>
        <s v="Andet svin" u="1"/>
        <s v="Andet kvæg" u="1"/>
      </sharedItems>
    </cacheField>
    <cacheField name="Staldtype" numFmtId="0">
      <sharedItems/>
    </cacheField>
    <cacheField name="Staldtype fordeling" numFmtId="0">
      <sharedItems count="7">
        <s v="Dybstrøelse"/>
        <s v="Løsdrift / boks"/>
        <s v="Løsdrift / boks/ Bur"/>
        <s v="Friland"/>
        <s v="Bindestald"/>
        <s v="Sengestald"/>
        <s v="Løsdrift / spalter"/>
      </sharedItems>
    </cacheField>
    <cacheField name="Stald_kode" numFmtId="0">
      <sharedItems containsString="0" containsBlank="1" containsNumber="1" containsInteger="1" minValue="110101" maxValue="992301"/>
    </cacheField>
    <cacheField name="Kode_stald+dyr" numFmtId="0">
      <sharedItems containsSemiMixedTypes="0" containsString="0" containsNumber="1" containsInteger="1" minValue="0" maxValue="1002224"/>
    </cacheField>
    <cacheField name="Antal dyr i Kommunen 2018" numFmtId="3">
      <sharedItems containsString="0" containsBlank="1" containsNumber="1" minValue="0" maxValue="28565.51"/>
    </cacheField>
    <cacheField name="Gødningstype" numFmtId="0">
      <sharedItems containsBlank="1"/>
    </cacheField>
    <cacheField name="Strøelsestype" numFmtId="0">
      <sharedItems containsBlank="1"/>
    </cacheField>
    <cacheField name="Gødning (g) pr. dyr (ton)" numFmtId="0">
      <sharedItems containsBlank="1" containsMixedTypes="1" containsNumber="1" minValue="2.3E-3" maxValue="31.71"/>
    </cacheField>
    <cacheField name="Tørstof %" numFmtId="0">
      <sharedItems containsBlank="1" containsMixedTypes="1" containsNumber="1" minValue="0.02" maxValue="0.4"/>
    </cacheField>
    <cacheField name="Gødning (g) total (ton)" numFmtId="4">
      <sharedItems containsString="0" containsBlank="1" containsNumber="1" minValue="0" maxValue="5961.8189999999995"/>
    </cacheField>
    <cacheField name="Gødning (s) pr. dyr (ton)" numFmtId="0">
      <sharedItems containsString="0" containsBlank="1" containsNumber="1" minValue="1.0200000000000001E-3" maxValue="16.14"/>
    </cacheField>
    <cacheField name="Tørstof %2" numFmtId="4">
      <sharedItems containsString="0" containsBlank="1" containsNumber="1" minValue="1.9E-2" maxValue="0.85"/>
    </cacheField>
    <cacheField name="Dage på græs, Konventionel" numFmtId="4">
      <sharedItems containsString="0" containsBlank="1" containsNumber="1" containsInteger="1" minValue="0" maxValue="265"/>
    </cacheField>
    <cacheField name="Dage på græs, Økologisk" numFmtId="4">
      <sharedItems containsString="0" containsBlank="1" containsNumber="1" containsInteger="1" minValue="0" maxValue="265"/>
    </cacheField>
    <cacheField name="VS_housing" numFmtId="4">
      <sharedItems containsBlank="1" containsMixedTypes="1" containsNumber="1" minValue="0" maxValue="4401.7620413506847"/>
    </cacheField>
    <cacheField name="VS_grazing" numFmtId="4">
      <sharedItems containsBlank="1" containsMixedTypes="1" containsNumber="1" minValue="0" maxValue="1162.1786301369864"/>
    </cacheField>
    <cacheField name="MCF %" numFmtId="4">
      <sharedItems containsString="0" containsBlank="1" containsNumber="1" minValue="1" maxValue="17"/>
    </cacheField>
    <cacheField name="B0" numFmtId="4">
      <sharedItems containsString="0" containsBlank="1" containsNumber="1" minValue="0.18" maxValue="0.45"/>
    </cacheField>
    <cacheField name="CH4 pr. dyr (Kg)" numFmtId="4">
      <sharedItems containsMixedTypes="1" containsNumber="1" minValue="0" maxValue="125.32219435061438"/>
    </cacheField>
    <cacheField name="Total udledning af CH4 (ton) 2018" numFmtId="4">
      <sharedItems containsMixedTypes="1" containsNumber="1" minValue="0" maxValue="12.9006960554575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4">
  <r>
    <s v="Andet"/>
    <n v="4501"/>
    <s v="Agerhøns, avlsdyr, 100 stk,"/>
    <x v="0"/>
    <s v="Agerhøns, avlsdyr, 100 stk,"/>
    <x v="0"/>
    <n v="450101"/>
    <n v="454602"/>
    <n v="0"/>
    <s v="Dybstrøelse"/>
    <m/>
    <m/>
    <m/>
    <n v="0"/>
    <n v="1.57E-3"/>
    <n v="0.48"/>
    <n v="0"/>
    <n v="0"/>
    <n v="0.75326088000000013"/>
    <n v="0"/>
    <n v="1.5"/>
    <n v="0.36"/>
    <n v="2.7252978638400011E-3"/>
    <n v="0"/>
  </r>
  <r>
    <s v="Andet"/>
    <n v="4701"/>
    <s v="Struds, kylling, 0-3 mdr,, 100 producerede dyr"/>
    <x v="0"/>
    <s v="Struds, kylling, 0-3 mdr,, 100 producerede dyr"/>
    <x v="0"/>
    <n v="470101"/>
    <n v="474802"/>
    <n v="0"/>
    <s v="Dybstrøelse"/>
    <m/>
    <m/>
    <m/>
    <n v="0"/>
    <m/>
    <m/>
    <m/>
    <m/>
    <m/>
    <m/>
    <m/>
    <m/>
    <n v="5.67"/>
    <n v="0"/>
  </r>
  <r>
    <s v="Andet"/>
    <n v="4703"/>
    <s v="Struds, kylling, 3-14 mdr,, 10 producerede dyr"/>
    <x v="0"/>
    <s v="Struds, kylling, 3-14 mdr,, 10 producerede dyr"/>
    <x v="0"/>
    <n v="470301"/>
    <n v="475004"/>
    <n v="0"/>
    <s v="Dybstrøelse"/>
    <m/>
    <m/>
    <m/>
    <n v="0"/>
    <m/>
    <m/>
    <m/>
    <m/>
    <m/>
    <m/>
    <m/>
    <m/>
    <n v="5.67"/>
    <n v="0"/>
  </r>
  <r>
    <s v="Andet"/>
    <n v="4706"/>
    <s v="Struds, voksen, han, 10 årsdyr"/>
    <x v="0"/>
    <s v="Struds, voksen, han, 10 årsdyr"/>
    <x v="0"/>
    <n v="470601"/>
    <n v="475307"/>
    <n v="0"/>
    <s v="Dybstrøelse"/>
    <m/>
    <m/>
    <m/>
    <n v="0"/>
    <m/>
    <m/>
    <m/>
    <m/>
    <m/>
    <m/>
    <m/>
    <m/>
    <n v="5.67"/>
    <n v="0"/>
  </r>
  <r>
    <s v="Andet"/>
    <n v="4705"/>
    <s v="Struds, voksen, hun, 10 årsdyr"/>
    <x v="0"/>
    <s v="Struds, voksen, hun, 10 årsdyr"/>
    <x v="0"/>
    <n v="470501"/>
    <n v="475206"/>
    <n v="0"/>
    <s v="Dybstrøelse"/>
    <m/>
    <m/>
    <m/>
    <n v="0"/>
    <m/>
    <m/>
    <m/>
    <m/>
    <m/>
    <m/>
    <m/>
    <m/>
    <n v="5.67"/>
    <n v="0"/>
  </r>
  <r>
    <s v="Får"/>
    <n v="1300"/>
    <s v="Får, 1 moderdyr med afkom"/>
    <x v="1"/>
    <s v="Får"/>
    <x v="1"/>
    <n v="130001"/>
    <n v="131301"/>
    <n v="403.89"/>
    <m/>
    <s v="Dybstrøelse"/>
    <m/>
    <m/>
    <n v="0"/>
    <n v="1.1299999999999999"/>
    <n v="0.34599999999999997"/>
    <n v="265"/>
    <n v="265"/>
    <n v="107.06960520547945"/>
    <n v="227.08975342465752"/>
    <n v="5.38"/>
    <n v="0.19"/>
    <n v="2.2885705658245641"/>
    <n v="0.92433076583088314"/>
  </r>
  <r>
    <s v="Geder"/>
    <n v="1402"/>
    <s v="Kødgeder, 1 moderdyr med afkom"/>
    <x v="1"/>
    <s v="Kødgeder"/>
    <x v="2"/>
    <n v="140201"/>
    <n v="141603"/>
    <n v="0"/>
    <m/>
    <s v="Dybstrøelse"/>
    <m/>
    <m/>
    <n v="0"/>
    <n v="1.1000000000000001"/>
    <n v="0.34599999999999997"/>
    <n v="265"/>
    <n v="265"/>
    <n v="104.22704931506848"/>
    <n v="221.06082191780823"/>
    <n v="17"/>
    <n v="0.18"/>
    <n v="6.6690519360164391"/>
    <n v="0"/>
  </r>
  <r>
    <s v="Geder"/>
    <n v="1403"/>
    <s v="Malkegeder, 1 moderdyr med afkom"/>
    <x v="1"/>
    <s v="Malkegeder"/>
    <x v="2"/>
    <n v="140301"/>
    <n v="141704"/>
    <n v="0"/>
    <m/>
    <s v="Dybstrøelse"/>
    <m/>
    <m/>
    <n v="0"/>
    <n v="1.1299999999999999"/>
    <n v="0.34599999999999997"/>
    <n v="265"/>
    <n v="265"/>
    <n v="107.06960520547945"/>
    <n v="227.08975342465752"/>
    <n v="17"/>
    <n v="0.18"/>
    <n v="6.8509351706350676"/>
    <n v="0"/>
  </r>
  <r>
    <s v="Geder"/>
    <n v="1401"/>
    <s v="Mohairged, 1 moderdyr med afkom"/>
    <x v="1"/>
    <s v="Mohairgeder"/>
    <x v="2"/>
    <n v="140101"/>
    <n v="141502"/>
    <n v="0"/>
    <m/>
    <s v="Dybstrøelse"/>
    <m/>
    <m/>
    <n v="0"/>
    <n v="1.21"/>
    <n v="0.34599999999999997"/>
    <n v="265"/>
    <n v="265"/>
    <n v="114.64975424657534"/>
    <n v="243.16690410958904"/>
    <n v="17"/>
    <n v="0.18"/>
    <n v="7.3359571296180821"/>
    <n v="0"/>
  </r>
  <r>
    <s v="Gæs"/>
    <n v="3400"/>
    <s v="Gæs, produktionstid 91 dage (100 stk)"/>
    <x v="0"/>
    <s v="Gæs, produktionstid 91 dage"/>
    <x v="1"/>
    <n v="340001"/>
    <n v="343401"/>
    <n v="0"/>
    <m/>
    <s v="Dybstrøelse"/>
    <m/>
    <m/>
    <n v="0"/>
    <n v="1.96"/>
    <n v="0.35"/>
    <n v="0"/>
    <n v="0"/>
    <n v="685.69129999999996"/>
    <n v="0"/>
    <n v="1.5"/>
    <n v="0.36"/>
    <n v="2.4808311234000002"/>
    <n v="0"/>
  </r>
  <r>
    <s v="Heste"/>
    <n v="1102"/>
    <s v="Heste, 1 årsdyr, vægt 300 kg - under 500 kg"/>
    <x v="2"/>
    <s v="1 voksen årshest, 300 kg - mindre end 500 kg"/>
    <x v="2"/>
    <n v="110201"/>
    <n v="111303"/>
    <n v="277.02"/>
    <m/>
    <s v="Dybstrøelse"/>
    <m/>
    <m/>
    <n v="0"/>
    <n v="4.62"/>
    <n v="0.26"/>
    <n v="183"/>
    <n v="183"/>
    <n v="598.68499101369866"/>
    <n v="481.79638356164389"/>
    <n v="2"/>
    <n v="0.3"/>
    <n v="4.3435351257928776"/>
    <n v="1.2032461005471426"/>
  </r>
  <r>
    <s v="Heste"/>
    <n v="1103"/>
    <s v="Heste, 1 årsdyr, vægt 500 kg - under 700 kg"/>
    <x v="2"/>
    <s v="1 voksen årshest, 500 kg - mindre end 700 kg"/>
    <x v="2"/>
    <n v="110301"/>
    <n v="111404"/>
    <n v="26.5"/>
    <m/>
    <s v="Dybstrøelse"/>
    <m/>
    <m/>
    <n v="0"/>
    <n v="5.13"/>
    <n v="0.26"/>
    <n v="183"/>
    <n v="183"/>
    <n v="664.77359391780828"/>
    <n v="534.98169863013698"/>
    <n v="2"/>
    <n v="0.3"/>
    <n v="4.8230162760427397"/>
    <n v="0.1278099313151326"/>
  </r>
  <r>
    <s v="Heste"/>
    <n v="1104"/>
    <s v="Heste, 1 årsdyr, vægt 700 kg og derover"/>
    <x v="2"/>
    <s v="1 voksen årshest, 700 kg og derover"/>
    <x v="2"/>
    <n v="110401"/>
    <n v="111505"/>
    <n v="0"/>
    <m/>
    <s v="Dybstrøelse"/>
    <m/>
    <m/>
    <n v="0"/>
    <n v="5.75"/>
    <n v="0.26"/>
    <n v="183"/>
    <n v="183"/>
    <n v="745.11660136986302"/>
    <n v="599.63835616438359"/>
    <n v="2"/>
    <n v="0.3"/>
    <n v="5.4059149292876718"/>
    <n v="0"/>
  </r>
  <r>
    <s v="Heste"/>
    <n v="1101"/>
    <s v="Heste, 1 årsdyr, vægt under 300 kg"/>
    <x v="2"/>
    <s v="1 voksen årshest, under 300 kg"/>
    <x v="2"/>
    <n v="110101"/>
    <n v="111202"/>
    <n v="15.21"/>
    <m/>
    <s v="Dybstrøelse"/>
    <m/>
    <m/>
    <n v="0"/>
    <n v="2.97"/>
    <n v="0.26"/>
    <n v="183"/>
    <n v="183"/>
    <n v="384.86892279452059"/>
    <n v="309.72624657534249"/>
    <n v="2"/>
    <n v="0.3"/>
    <n v="2.7922725808668494"/>
    <n v="4.2470465954984785E-2"/>
  </r>
  <r>
    <s v="Hjortedyr"/>
    <n v="2106"/>
    <s v="Dådyr"/>
    <x v="3"/>
    <s v="Dådyr, 1 stk,"/>
    <x v="2"/>
    <n v="210601"/>
    <n v="212707"/>
    <n v="0"/>
    <m/>
    <s v="Dybstrøelse"/>
    <m/>
    <m/>
    <n v="0"/>
    <m/>
    <m/>
    <m/>
    <m/>
    <m/>
    <m/>
    <m/>
    <m/>
    <n v="0.22"/>
    <n v="0"/>
  </r>
  <r>
    <s v="Hjortedyr"/>
    <n v="2102"/>
    <s v="Hinder &gt; 15 mdr,"/>
    <x v="3"/>
    <s v="Hinder &gt; 15 mdr,, 10 stk,"/>
    <x v="2"/>
    <n v="210201"/>
    <n v="212303"/>
    <n v="0"/>
    <m/>
    <s v="Dybstrøelse"/>
    <m/>
    <m/>
    <n v="0"/>
    <m/>
    <m/>
    <m/>
    <m/>
    <n v="0"/>
    <n v="0"/>
    <m/>
    <m/>
    <n v="0.22"/>
    <n v="0"/>
  </r>
  <r>
    <s v="Hjortedyr"/>
    <n v="2101"/>
    <s v="Hjorte &gt; 15 mdr,"/>
    <x v="3"/>
    <s v="Hjorte &gt; 15 mdr,, 10 stk,"/>
    <x v="2"/>
    <n v="210101"/>
    <n v="212202"/>
    <n v="0"/>
    <m/>
    <s v="Dybstrøelse"/>
    <m/>
    <m/>
    <n v="0"/>
    <m/>
    <m/>
    <m/>
    <m/>
    <n v="0"/>
    <n v="0"/>
    <m/>
    <m/>
    <n v="0.22"/>
    <n v="0"/>
  </r>
  <r>
    <s v="Hjortedyr"/>
    <n v="2104"/>
    <s v="Unge hinder3-15 mdr, "/>
    <x v="3"/>
    <s v="Unge hinder 3-15 mdr,, 10 stk,"/>
    <x v="2"/>
    <n v="210401"/>
    <n v="212505"/>
    <n v="0"/>
    <m/>
    <s v="Dybstrøelse"/>
    <m/>
    <m/>
    <n v="0"/>
    <m/>
    <m/>
    <m/>
    <m/>
    <n v="0"/>
    <n v="0"/>
    <m/>
    <m/>
    <n v="0.22"/>
    <n v="0"/>
  </r>
  <r>
    <s v="Hjortedyr"/>
    <n v="2103"/>
    <s v="Unge hjorte 3-15 mdr,"/>
    <x v="3"/>
    <s v="Unge hjorte 3-15 mdr,, 10 stk,"/>
    <x v="2"/>
    <n v="210301"/>
    <n v="212404"/>
    <n v="0"/>
    <m/>
    <s v="Dybstrøelse"/>
    <m/>
    <m/>
    <n v="0"/>
    <m/>
    <m/>
    <m/>
    <m/>
    <n v="0"/>
    <n v="0"/>
    <m/>
    <m/>
    <n v="0.22"/>
    <n v="0"/>
  </r>
  <r>
    <s v="Hjortedyr"/>
    <n v="2105"/>
    <s v="Årshind"/>
    <x v="3"/>
    <s v="Årshind, 1 stk,"/>
    <x v="2"/>
    <n v="210501"/>
    <n v="212606"/>
    <n v="0"/>
    <m/>
    <s v="Dybstrøelse"/>
    <m/>
    <m/>
    <n v="0"/>
    <m/>
    <m/>
    <m/>
    <m/>
    <n v="0"/>
    <n v="0"/>
    <m/>
    <m/>
    <n v="0.22"/>
    <n v="0"/>
  </r>
  <r>
    <s v="Hjortedyr"/>
    <n v="2401"/>
    <s v="Chinchilla "/>
    <x v="3"/>
    <s v="Chincilla, 100 stk. "/>
    <x v="2"/>
    <n v="240101"/>
    <n v="242502"/>
    <n v="0"/>
    <m/>
    <s v="Dybstrøelse"/>
    <m/>
    <m/>
    <n v="0"/>
    <m/>
    <m/>
    <m/>
    <m/>
    <n v="0"/>
    <n v="0"/>
    <m/>
    <m/>
    <n v="0"/>
    <n v="0"/>
  </r>
  <r>
    <s v="Høns af slagtetype"/>
    <n v="3295"/>
    <s v="Hønniker, Hpr "/>
    <x v="0"/>
    <s v="Rugeæg (hpr), gulvdrift, produktionstid 119 dage"/>
    <x v="2"/>
    <n v="329501"/>
    <n v="332796"/>
    <n v="0"/>
    <m/>
    <s v="Dybstrøelse"/>
    <m/>
    <m/>
    <n v="0"/>
    <n v="1.5E-3"/>
    <n v="0.48"/>
    <n v="0"/>
    <n v="0"/>
    <n v="0.71967599999999998"/>
    <n v="0"/>
    <n v="1.5"/>
    <n v="0.39"/>
    <n v="2.8207700820000008E-3"/>
    <n v="0"/>
  </r>
  <r>
    <s v="Høns af slagtetype"/>
    <n v="3256"/>
    <s v="producerede skrabekyllinger, 56 dage "/>
    <x v="0"/>
    <s v="Skrabekyllinger, 44 dage"/>
    <x v="2"/>
    <n v="325601"/>
    <n v="328857"/>
    <n v="0"/>
    <m/>
    <s v="Dybstrøelse"/>
    <m/>
    <m/>
    <n v="0"/>
    <n v="1.57E-3"/>
    <n v="0.48"/>
    <n v="0"/>
    <n v="0"/>
    <n v="0.75326088000000013"/>
    <n v="0"/>
    <n v="1.5"/>
    <n v="0.36"/>
    <n v="2.7252978638400011E-3"/>
    <n v="0"/>
  </r>
  <r>
    <s v="Høns af slagtetype"/>
    <n v="3230"/>
    <s v="producerede slagtekyllinger, 30 dage "/>
    <x v="0"/>
    <s v="Produktionstid 30 dage"/>
    <x v="2"/>
    <n v="323001"/>
    <n v="326231"/>
    <n v="0"/>
    <m/>
    <s v="Dybstrøelse"/>
    <m/>
    <m/>
    <n v="0"/>
    <n v="1.0200000000000001E-3"/>
    <n v="0.48"/>
    <n v="0"/>
    <n v="0"/>
    <n v="0.48937968000000004"/>
    <n v="0"/>
    <n v="1.5"/>
    <n v="0.36"/>
    <n v="1.7705756822400003E-3"/>
    <n v="0"/>
  </r>
  <r>
    <s v="Høns af slagtetype"/>
    <n v="3232"/>
    <s v="producerede slagtekyllinger, 32 dage"/>
    <x v="0"/>
    <s v="Produktionstid 32 dage"/>
    <x v="2"/>
    <n v="323201"/>
    <n v="326433"/>
    <n v="0"/>
    <m/>
    <s v="Dybstrøelse"/>
    <m/>
    <m/>
    <n v="0"/>
    <n v="1.17E-3"/>
    <n v="0.48"/>
    <n v="0"/>
    <n v="0"/>
    <n v="0.56134728"/>
    <n v="0"/>
    <n v="1.5"/>
    <n v="0.36"/>
    <n v="2.0309544590399998E-3"/>
    <n v="0"/>
  </r>
  <r>
    <s v="Høns af slagtetype"/>
    <n v="3235"/>
    <s v="producerede slagtekyllinger, 35 dage"/>
    <x v="0"/>
    <s v="Produktionstid 35 dage"/>
    <x v="2"/>
    <n v="323501"/>
    <n v="326736"/>
    <n v="0"/>
    <m/>
    <s v="Dybstrøelse"/>
    <m/>
    <m/>
    <n v="0"/>
    <n v="1.39E-3"/>
    <n v="0.48"/>
    <n v="0"/>
    <n v="0"/>
    <n v="0.66689975999999995"/>
    <n v="0"/>
    <n v="1.5"/>
    <n v="0.36"/>
    <n v="2.4128433316800003E-3"/>
    <n v="0"/>
  </r>
  <r>
    <s v="Høns af slagtetype"/>
    <n v="3240"/>
    <s v="producerede slagtekyllinger, 40 dage"/>
    <x v="0"/>
    <s v="Produktionstid 40 dage"/>
    <x v="2"/>
    <n v="324001"/>
    <n v="327241"/>
    <n v="0"/>
    <m/>
    <s v="Dybstrøelse"/>
    <m/>
    <m/>
    <n v="0"/>
    <n v="1.7900000000000001E-3"/>
    <n v="0.48"/>
    <n v="0"/>
    <n v="0"/>
    <n v="0.85881335999999997"/>
    <n v="0"/>
    <n v="1.5"/>
    <n v="0.36"/>
    <n v="3.1071867364799999E-3"/>
    <n v="0"/>
  </r>
  <r>
    <s v="Høns af slagtetype"/>
    <n v="3245"/>
    <s v="producerede slagtekyllinger, 45 dage"/>
    <x v="0"/>
    <s v="Produktionstid 45 dage"/>
    <x v="2"/>
    <n v="324501"/>
    <n v="327746"/>
    <n v="0"/>
    <m/>
    <s v="Dybstrøelse"/>
    <m/>
    <m/>
    <n v="0"/>
    <n v="1.7900000000000001E-3"/>
    <n v="0.48"/>
    <n v="0"/>
    <n v="0"/>
    <n v="0.85881335999999997"/>
    <n v="0"/>
    <n v="1.5"/>
    <n v="0.36"/>
    <n v="3.1071867364799999E-3"/>
    <n v="0"/>
  </r>
  <r>
    <s v="Høns af slagtetype"/>
    <n v="3290"/>
    <s v="Rugeæg (hpr-høner), "/>
    <x v="0"/>
    <s v="Rugeæg (hpr-høner), gulvdrift + gødningskummer"/>
    <x v="2"/>
    <n v="329001"/>
    <n v="332291"/>
    <n v="0"/>
    <m/>
    <s v="Dybstrøelse"/>
    <m/>
    <m/>
    <n v="0"/>
    <n v="1.61E-2"/>
    <n v="0.63300000000000001"/>
    <n v="0"/>
    <n v="0"/>
    <n v="10.186713915000002"/>
    <n v="0"/>
    <n v="1.5"/>
    <n v="0.39"/>
    <n v="3.9926825189842516E-2"/>
    <n v="0"/>
  </r>
  <r>
    <s v="Høns af slagtetype"/>
    <n v="3281"/>
    <s v="Økologiske slagtekyllinger, 63 dage "/>
    <x v="0"/>
    <s v="Økologiske slagtekyllinger, 63 dage"/>
    <x v="2"/>
    <n v="328101"/>
    <n v="331382"/>
    <n v="0"/>
    <m/>
    <s v="Dybstrøelse"/>
    <m/>
    <m/>
    <n v="0"/>
    <n v="2.0899999999999998E-3"/>
    <n v="0.5"/>
    <n v="0"/>
    <n v="0"/>
    <n v="1.0445297499999999"/>
    <n v="0"/>
    <n v="1.5"/>
    <n v="0.36"/>
    <n v="3.7791086355000001E-3"/>
    <n v="0"/>
  </r>
  <r>
    <s v="Høns af æglægningstype"/>
    <n v="3104"/>
    <s v="Burhøns, konsumæg "/>
    <x v="0"/>
    <s v="Burhøns, konsumæg, bånd, fast gødning"/>
    <x v="2"/>
    <n v="310402"/>
    <n v="313506"/>
    <n v="0"/>
    <s v="Fast gødning"/>
    <m/>
    <n v="2.8199999999999999E-2"/>
    <n v="0.4"/>
    <n v="0"/>
    <m/>
    <m/>
    <n v="0"/>
    <m/>
    <n v="9.0239999999999991"/>
    <n v="0"/>
    <n v="1.5"/>
    <n v="0.39"/>
    <n v="3.5369567999999997E-2"/>
    <n v="0"/>
  </r>
  <r>
    <s v="Høns af æglægningstype"/>
    <n v="3104"/>
    <s v="Burhøns, konsumæg "/>
    <x v="0"/>
    <s v="Burhøns, konsumæg, bånd, gylle"/>
    <x v="2"/>
    <n v="310403"/>
    <n v="313507"/>
    <n v="0"/>
    <s v="Fjerkrægylle"/>
    <m/>
    <n v="9.9199999999999997E-2"/>
    <n v="0.12"/>
    <n v="0"/>
    <m/>
    <m/>
    <n v="0"/>
    <n v="0"/>
    <n v="9.523200000000001"/>
    <n v="0"/>
    <n v="1.5"/>
    <n v="0.39"/>
    <n v="3.7326182400000005E-2"/>
    <n v="0"/>
  </r>
  <r>
    <s v="Høns af æglægningstype"/>
    <n v="3106"/>
    <s v="Friland, konsumæg"/>
    <x v="0"/>
    <s v="Friland, konsumæg, gulv+fler etage m bånd"/>
    <x v="2"/>
    <n v="310601"/>
    <n v="313707"/>
    <n v="0"/>
    <s v="Fast gødning"/>
    <s v="Dybstrøelse"/>
    <n v="2.1099999999999997E-2"/>
    <n v="0.4"/>
    <n v="0"/>
    <n v="2.5999999999999999E-3"/>
    <n v="0.63"/>
    <n v="0"/>
    <n v="0"/>
    <n v="8.3892629000000003"/>
    <n v="0"/>
    <n v="1.5"/>
    <n v="0.39"/>
    <n v="3.288171593655001E-2"/>
    <n v="0"/>
  </r>
  <r>
    <s v="Høns af æglægningstype"/>
    <n v="3101"/>
    <s v="Fritgående, konsumæg, "/>
    <x v="0"/>
    <s v="Friland, konsumæg, gulvdrift fler-etagesystem"/>
    <x v="3"/>
    <n v="310103"/>
    <n v="313204"/>
    <n v="0"/>
    <s v="Fast gødning"/>
    <m/>
    <n v="1.5100000000000001E-2"/>
    <n v="0.4"/>
    <n v="0"/>
    <m/>
    <m/>
    <n v="181"/>
    <n v="181"/>
    <n v="2.4358575342465758"/>
    <n v="2.3961424657534249"/>
    <n v="1"/>
    <n v="0.39"/>
    <n v="1.2626016000000004E-2"/>
    <n v="0"/>
  </r>
  <r>
    <s v="Høns af æglægningstype"/>
    <m/>
    <s v="Fritgående, konsumæg, "/>
    <x v="0"/>
    <s v="Friland, konsumæg, gulvdrift fler-etagesystem"/>
    <x v="3"/>
    <m/>
    <n v="0"/>
    <m/>
    <m/>
    <s v="Dybstrøelse"/>
    <m/>
    <m/>
    <n v="0"/>
    <n v="3.0000000000000001E-3"/>
    <n v="0.63300000000000001"/>
    <n v="181"/>
    <n v="181"/>
    <n v="0.95687332273972603"/>
    <n v="0.75335671232876711"/>
    <n v="1"/>
    <n v="0.39"/>
    <n v="4.4688310816339734E-3"/>
    <n v="0"/>
  </r>
  <r>
    <s v="Høns af æglægningstype"/>
    <n v="3101"/>
    <s v="Fritgående, konsumæg, "/>
    <x v="0"/>
    <s v="Fritgående, konsumæg, gulvdrift + gødningskummer"/>
    <x v="3"/>
    <n v="310101"/>
    <n v="313202"/>
    <n v="0"/>
    <s v="Fast gødning"/>
    <m/>
    <n v="1.2699999999999999E-2"/>
    <n v="0.4"/>
    <n v="0"/>
    <m/>
    <m/>
    <n v="0"/>
    <n v="0"/>
    <n v="4.0640000000000001"/>
    <n v="0"/>
    <n v="1"/>
    <n v="0.39"/>
    <n v="1.0619232000000003E-2"/>
    <n v="0"/>
  </r>
  <r>
    <s v="Høns af æglægningstype"/>
    <m/>
    <s v="Fritgående, konsumæg, "/>
    <x v="0"/>
    <s v="Fritgående, konsumæg, gulvdrift + gødningskummer"/>
    <x v="3"/>
    <m/>
    <n v="0"/>
    <m/>
    <m/>
    <s v="Dybstrøelse"/>
    <m/>
    <m/>
    <n v="0"/>
    <n v="3.8E-3"/>
    <n v="0.63300000000000001"/>
    <n v="0"/>
    <n v="0"/>
    <n v="2.4043175699999999"/>
    <n v="0"/>
    <n v="1"/>
    <n v="0.39"/>
    <n v="6.2824818104100007E-3"/>
    <n v="0"/>
  </r>
  <r>
    <s v="Høns af æglægningstype"/>
    <n v="3101"/>
    <s v="Fritgående, konsumæg, "/>
    <x v="0"/>
    <s v="Fritgående, konsumæg, gulvdrift uden gødningskumme"/>
    <x v="3"/>
    <n v="310102"/>
    <n v="313203"/>
    <n v="0"/>
    <m/>
    <s v="Dybstrøelse"/>
    <m/>
    <m/>
    <n v="0"/>
    <n v="1.1000000000000001E-2"/>
    <n v="0.63300000000000001"/>
    <n v="0"/>
    <n v="0"/>
    <n v="6.9598666500000022"/>
    <n v="0"/>
    <n v="1"/>
    <n v="0.39"/>
    <n v="1.8186131556450009E-2"/>
    <n v="0"/>
  </r>
  <r>
    <s v="Høns af æglægningstype"/>
    <n v="3111"/>
    <s v="Hønniker, konsum "/>
    <x v="0"/>
    <s v="Konsum, Bure, Produktionstid 118 dage"/>
    <x v="2"/>
    <n v="311105"/>
    <n v="314216"/>
    <n v="0"/>
    <s v="Fast gødning"/>
    <m/>
    <n v="2.3E-3"/>
    <n v="0.4"/>
    <n v="0"/>
    <m/>
    <m/>
    <n v="0"/>
    <n v="0"/>
    <n v="0.7360000000000001"/>
    <n v="0"/>
    <n v="1.5"/>
    <n v="0.39"/>
    <n v="2.8847520000000004E-3"/>
    <n v="0"/>
  </r>
  <r>
    <s v="Høns af æglægningstype"/>
    <n v="3111"/>
    <s v="Hønniker, konsum "/>
    <x v="0"/>
    <s v="Konsum, Gulvdrift, produktionstid 118 dage"/>
    <x v="2"/>
    <n v="311106"/>
    <n v="314217"/>
    <n v="0"/>
    <m/>
    <s v="Dybstrøelse"/>
    <m/>
    <m/>
    <n v="0"/>
    <n v="1.4000000000000002E-3"/>
    <n v="0.48"/>
    <n v="0"/>
    <n v="0"/>
    <n v="0.67169760000000012"/>
    <n v="0"/>
    <n v="1.5"/>
    <n v="0.39"/>
    <n v="2.6327187432000011E-3"/>
    <n v="0"/>
  </r>
  <r>
    <s v="Høns af æglægningstype"/>
    <n v="3105"/>
    <s v="Rugeæg (HPR-høner)"/>
    <x v="0"/>
    <s v="Rugeæg (hpr-høner), gulvdrift og gødningskummer"/>
    <x v="2"/>
    <n v="310501"/>
    <n v="313606"/>
    <n v="0"/>
    <m/>
    <s v="Dybstrøelse"/>
    <m/>
    <m/>
    <n v="0"/>
    <n v="1.6299999999999999E-2"/>
    <n v="0.63300000000000001"/>
    <n v="0"/>
    <n v="0"/>
    <n v="10.313256944999999"/>
    <n v="0"/>
    <n v="1.5"/>
    <n v="0.39"/>
    <n v="4.0422810595927498E-2"/>
    <n v="0"/>
  </r>
  <r>
    <s v="Høns af æglægningstype"/>
    <n v="3112"/>
    <s v="Rugeæg (hønniker, HPR)"/>
    <x v="0"/>
    <s v="Rugeæg (hønniker, Hpr), gulvdrift, prod. 119 dage"/>
    <x v="2"/>
    <n v="311201"/>
    <n v="314313"/>
    <n v="0"/>
    <m/>
    <s v="Dybstrøelse"/>
    <m/>
    <m/>
    <n v="0"/>
    <n v="1.5E-3"/>
    <n v="0.48"/>
    <n v="0"/>
    <n v="0"/>
    <n v="0.71967599999999998"/>
    <n v="0"/>
    <n v="1.5"/>
    <n v="0.39"/>
    <n v="2.8207700820000008E-3"/>
    <n v="0"/>
  </r>
  <r>
    <s v="Høns af æglægningstype"/>
    <n v="3103"/>
    <s v="Skrabehøner, konsumæg "/>
    <x v="0"/>
    <s v="Skrabehøner, konsumæg, fler-etagesystem med gødnin"/>
    <x v="2"/>
    <n v="310302"/>
    <n v="313405"/>
    <n v="0"/>
    <s v="Fast gødning"/>
    <m/>
    <n v="2.23E-2"/>
    <n v="0.4"/>
    <n v="0"/>
    <m/>
    <m/>
    <n v="0"/>
    <n v="0"/>
    <n v="7.1360000000000001"/>
    <n v="0"/>
    <n v="1.5"/>
    <n v="0.39"/>
    <n v="2.7969552000000005E-2"/>
    <n v="0"/>
  </r>
  <r>
    <s v="Høns af æglægningstype"/>
    <m/>
    <s v="Skrabehøner, konsumæg "/>
    <x v="0"/>
    <s v="Skrabehøner, konsumæg, fler-etagesystem med gødnin"/>
    <x v="2"/>
    <m/>
    <n v="0"/>
    <m/>
    <m/>
    <s v="Dybstrøelse"/>
    <m/>
    <m/>
    <n v="0"/>
    <n v="3.0999999999999999E-3"/>
    <n v="0.63300000000000001"/>
    <n v="0"/>
    <n v="0"/>
    <n v="1.9614169650000002"/>
    <n v="0"/>
    <n v="1"/>
    <n v="0.39"/>
    <n v="5.1251825295450014E-3"/>
    <n v="0"/>
  </r>
  <r>
    <s v="Høns af æglægningstype"/>
    <n v="3103"/>
    <s v="Skrabehøner, konsumæg "/>
    <x v="0"/>
    <s v="Skrabehøner, konsumæg, gulvdrift + gødningskummer"/>
    <x v="2"/>
    <n v="310301"/>
    <n v="313404"/>
    <n v="0"/>
    <s v="Fast gødning"/>
    <s v="Dybstrøelse"/>
    <n v="1.3600000000000001E-2"/>
    <n v="8.900000000000001E-2"/>
    <n v="0"/>
    <m/>
    <m/>
    <n v="0"/>
    <n v="0"/>
    <n v="0.96832000000000029"/>
    <n v="0"/>
    <n v="1.5"/>
    <n v="0.39"/>
    <n v="3.7953302400000016E-3"/>
    <n v="0"/>
  </r>
  <r>
    <s v="Høns af æglægningstype"/>
    <n v="3107"/>
    <s v="Økologiske, konsumæg"/>
    <x v="0"/>
    <s v="Økologiske, konsumæg, gulv+fler-etage m bånd"/>
    <x v="2"/>
    <n v="310701"/>
    <n v="313808"/>
    <n v="0"/>
    <m/>
    <s v="Dybstrøelse"/>
    <n v="1.5100000000000001E-2"/>
    <n v="0.4"/>
    <n v="0"/>
    <n v="3.0000000000000001E-3"/>
    <n v="0.63"/>
    <n v="0"/>
    <n v="0"/>
    <n v="6.721149500000001"/>
    <n v="0"/>
    <n v="1.5"/>
    <n v="0.39"/>
    <n v="2.6343545465250005E-2"/>
    <n v="0"/>
  </r>
  <r>
    <s v="Høns af æglægningstype"/>
    <n v="3102"/>
    <s v="Økologiske, konsumæg, "/>
    <x v="0"/>
    <s v="Økologiske, konsumæg, gulvdrift + fler-etage bånd"/>
    <x v="2"/>
    <n v="310201"/>
    <n v="313303"/>
    <n v="0"/>
    <s v="Fast gødning"/>
    <m/>
    <n v="1.5100000000000001E-2"/>
    <n v="0.4"/>
    <n v="0"/>
    <m/>
    <m/>
    <n v="0"/>
    <n v="0"/>
    <n v="4.8320000000000007"/>
    <n v="0"/>
    <n v="1.5"/>
    <n v="0.39"/>
    <n v="1.8939024000000006E-2"/>
    <n v="0"/>
  </r>
  <r>
    <s v="Høns af æglægningstype"/>
    <m/>
    <s v="Økologiske, konsumæg, "/>
    <x v="0"/>
    <s v="Økologiske, konsumæg, gulvdrift + fler-etage bånd"/>
    <x v="2"/>
    <m/>
    <n v="0"/>
    <m/>
    <m/>
    <s v="Dybstrøelse"/>
    <m/>
    <m/>
    <n v="0"/>
    <n v="3.0000000000000001E-3"/>
    <n v="0.63300000000000001"/>
    <n v="0"/>
    <n v="0"/>
    <n v="1.8981454499999999"/>
    <n v="0"/>
    <n v="1.5"/>
    <n v="0.39"/>
    <n v="7.4397810912750009E-3"/>
    <n v="0"/>
  </r>
  <r>
    <s v="Høns af æglægningstype"/>
    <n v="3102"/>
    <s v="Økologiske, konsumæg, "/>
    <x v="0"/>
    <s v="Økologiske, konsumæg, gulvdrift + gødningskumme"/>
    <x v="2"/>
    <n v="310202"/>
    <n v="313304"/>
    <n v="0"/>
    <s v="Fast gødning"/>
    <m/>
    <n v="1.3000000000000001E-2"/>
    <n v="0.4"/>
    <n v="0"/>
    <m/>
    <m/>
    <n v="0"/>
    <n v="0"/>
    <n v="4.160000000000001"/>
    <n v="0"/>
    <n v="1.5"/>
    <n v="0.39"/>
    <n v="1.6305120000000006E-2"/>
    <n v="0"/>
  </r>
  <r>
    <s v="Høns af æglægningstype"/>
    <m/>
    <s v="Økologiske, konsumæg, "/>
    <x v="0"/>
    <s v="Økologiske, konsumæg, gulvdrift + gødningskumme"/>
    <x v="2"/>
    <m/>
    <n v="0"/>
    <m/>
    <m/>
    <s v="Dybstrøelse"/>
    <m/>
    <m/>
    <n v="0"/>
    <n v="4.1999999999999997E-3"/>
    <n v="0.63300000000000001"/>
    <n v="0"/>
    <n v="0"/>
    <n v="2.6574036300000006"/>
    <n v="0"/>
    <n v="1.5"/>
    <n v="0.39"/>
    <n v="1.0415693527785003E-2"/>
    <n v="0"/>
  </r>
  <r>
    <s v="Høns afslagtetype"/>
    <n v="3205"/>
    <s v="producerede slagtekyllinger, levende vægt ved slagtning 1,67 kg"/>
    <x v="0"/>
    <s v="Levende vægt ved slagtning"/>
    <x v="2"/>
    <n v="320501"/>
    <n v="323706"/>
    <n v="0"/>
    <m/>
    <s v="Dybstrøelse"/>
    <m/>
    <m/>
    <n v="0"/>
    <n v="1.17E-3"/>
    <n v="0.48"/>
    <n v="0"/>
    <n v="0"/>
    <n v="0.56134728"/>
    <n v="0"/>
    <n v="1.5"/>
    <n v="0.36"/>
    <n v="2.0309544590399998E-3"/>
    <n v="0"/>
  </r>
  <r>
    <s v="Høns afslagtetype"/>
    <n v="3201"/>
    <s v="producerede slagtekyllinger, levende vægt ved slagtning 1,85 kg"/>
    <x v="0"/>
    <s v="Levende vægt ved slagtning"/>
    <x v="2"/>
    <n v="320101"/>
    <n v="323302"/>
    <n v="0"/>
    <m/>
    <s v="Dybstrøelse"/>
    <m/>
    <m/>
    <n v="0"/>
    <n v="1.0200000000000001E-3"/>
    <n v="0.48"/>
    <n v="0"/>
    <n v="0"/>
    <n v="0.48937968000000004"/>
    <n v="0"/>
    <n v="1.5"/>
    <n v="0.36"/>
    <n v="1.7705756822400003E-3"/>
    <n v="0"/>
  </r>
  <r>
    <s v="Høns afslagtetype"/>
    <n v="3202"/>
    <s v="producerede slagtekyllinger, levende vægt ved slagtning 2,13 kg"/>
    <x v="0"/>
    <s v="Levende vægt ved slagtning"/>
    <x v="2"/>
    <n v="320201"/>
    <n v="323403"/>
    <n v="0"/>
    <m/>
    <s v="Dybstrøelse"/>
    <m/>
    <m/>
    <n v="0"/>
    <n v="1.17E-3"/>
    <n v="0.48"/>
    <n v="0"/>
    <n v="0"/>
    <n v="0.56134728"/>
    <n v="0"/>
    <n v="1.5"/>
    <n v="0.36"/>
    <n v="2.0309544590399998E-3"/>
    <n v="0"/>
  </r>
  <r>
    <s v="Høns afslagtetype"/>
    <n v="3204"/>
    <s v="producerede slagtekyllinger, levende vægt ved slagtning, 3,07 kg"/>
    <x v="0"/>
    <s v="Levende vægt ved slagtning, 3,07 kg"/>
    <x v="2"/>
    <n v="320401"/>
    <n v="323605"/>
    <n v="0"/>
    <m/>
    <s v="Dybstrøelse"/>
    <m/>
    <m/>
    <n v="0"/>
    <n v="1.17E-3"/>
    <n v="0.48"/>
    <n v="0"/>
    <n v="0"/>
    <n v="0.56134728"/>
    <n v="0"/>
    <n v="1.5"/>
    <n v="0.36"/>
    <n v="2.0309544590399998E-3"/>
    <n v="0"/>
  </r>
  <r>
    <s v="Kalkuner"/>
    <n v="3302"/>
    <s v="Kalkuner, tunge hanner, produktionstid 147 dage"/>
    <x v="0"/>
    <s v="Kalkuner, tunge hanner, produktionstid 147 dage"/>
    <x v="2"/>
    <n v="330201"/>
    <n v="333503"/>
    <n v="0"/>
    <m/>
    <s v="Dybstrøelse"/>
    <m/>
    <m/>
    <n v="0"/>
    <n v="2.02"/>
    <n v="0.48"/>
    <n v="0"/>
    <n v="0"/>
    <n v="969.16368"/>
    <n v="0"/>
    <n v="1.5"/>
    <n v="0.36"/>
    <n v="3.5064341942400001"/>
    <n v="0"/>
  </r>
  <r>
    <s v="Kalkuner"/>
    <n v="3301"/>
    <s v="Kalkuner, tunge hunner, produktionstid 112 dage "/>
    <x v="0"/>
    <s v="Kalkuner, tunge hunner, produktionstid 112 dage"/>
    <x v="2"/>
    <n v="330101"/>
    <n v="333402"/>
    <n v="0"/>
    <m/>
    <s v="Dybstrøelse"/>
    <m/>
    <m/>
    <n v="0"/>
    <n v="1.01E-2"/>
    <n v="0.48"/>
    <n v="0"/>
    <n v="0"/>
    <n v="4.8458183999999997"/>
    <n v="0"/>
    <n v="1.5"/>
    <n v="0.36"/>
    <n v="1.7532170971199999E-2"/>
    <n v="0"/>
  </r>
  <r>
    <s v="Kvæg"/>
    <n v="1236"/>
    <s v="1 avlstyr (1 årsdyr), Jersey, over 328 kg"/>
    <x v="4"/>
    <s v="Bindestald med grebning"/>
    <x v="4"/>
    <n v="123601"/>
    <n v="124837"/>
    <n v="0"/>
    <s v="Fast gødning"/>
    <m/>
    <n v="3.36"/>
    <n v="0.18600000000000003"/>
    <n v="0"/>
    <m/>
    <m/>
    <n v="132"/>
    <n v="181"/>
    <n v="319.15765479452062"/>
    <n v="180.81034520547948"/>
    <n v="2"/>
    <n v="0.18"/>
    <n v="1.2059228160000002"/>
    <n v="0"/>
  </r>
  <r>
    <s v="Kvæg"/>
    <m/>
    <s v="1 avlstyr (1 årsdyr), Jersey, over 328 kg"/>
    <x v="4"/>
    <s v="Bindestald med grebning"/>
    <x v="4"/>
    <m/>
    <n v="0"/>
    <m/>
    <s v="Alje"/>
    <m/>
    <n v="2.56"/>
    <n v="3.1E-2"/>
    <n v="0"/>
    <m/>
    <m/>
    <n v="132"/>
    <n v="181"/>
    <n v="40.527956164383561"/>
    <n v="22.960043835616439"/>
    <n v="12.5"/>
    <n v="0.18"/>
    <n v="0.95708159999999998"/>
    <n v="0"/>
  </r>
  <r>
    <s v="Kvæg"/>
    <n v="1236"/>
    <s v="1 avlstyr (1 årsdyr), Jersey, over 328 kg"/>
    <x v="4"/>
    <s v="Bindestald med riste"/>
    <x v="4"/>
    <n v="123602"/>
    <n v="124838"/>
    <n v="0"/>
    <s v="Kvæggylle"/>
    <m/>
    <n v="5.31"/>
    <n v="0.127"/>
    <n v="0"/>
    <m/>
    <m/>
    <n v="132"/>
    <n v="181"/>
    <n v="344.39059726027403"/>
    <n v="195.10540273972606"/>
    <n v="12.5"/>
    <n v="0.18"/>
    <n v="8.132902200000002"/>
    <n v="0"/>
  </r>
  <r>
    <s v="Kvæg"/>
    <n v="1236"/>
    <s v="1 avlstyr (1 årsdyr), Jersey, over 328 kg"/>
    <x v="4"/>
    <s v="Dybstrøelse hele arealet+kort ædeplads,fast gulv"/>
    <x v="0"/>
    <n v="123604"/>
    <n v="124840"/>
    <n v="0"/>
    <m/>
    <m/>
    <n v="3.83"/>
    <n v="0.3"/>
    <n v="0"/>
    <m/>
    <m/>
    <n v="132"/>
    <n v="181"/>
    <n v="586.7769863013699"/>
    <n v="332.42301369863014"/>
    <n v="17"/>
    <n v="0.18"/>
    <n v="18.845438399999999"/>
    <n v="0"/>
  </r>
  <r>
    <s v="Kvæg"/>
    <n v="1236"/>
    <s v="1 avlstyr (1 årsdyr), Jersey, over 328 kg"/>
    <x v="4"/>
    <s v="Dybstrøelse, hele arealet"/>
    <x v="0"/>
    <n v="123603"/>
    <n v="124839"/>
    <n v="1.07"/>
    <m/>
    <s v="Dybstrøelse"/>
    <m/>
    <m/>
    <n v="0"/>
    <n v="4.45"/>
    <n v="0.3"/>
    <n v="18"/>
    <n v="181"/>
    <n v="1268.5932595890411"/>
    <n v="0"/>
    <n v="17"/>
    <n v="0.18"/>
    <n v="26.008699008094521"/>
    <n v="2.7829307938661139E-2"/>
  </r>
  <r>
    <s v="Kvæg"/>
    <n v="1236"/>
    <s v="1 avlstyr (1 årsdyr), Jersey, over 328 kg"/>
    <x v="4"/>
    <s v="Dybstrøelse, lang ædeplads,fast gulv"/>
    <x v="0"/>
    <n v="123605"/>
    <n v="124841"/>
    <n v="0"/>
    <s v="Kvæggylle"/>
    <m/>
    <n v="2.1"/>
    <n v="0.10400000000000001"/>
    <n v="0"/>
    <m/>
    <m/>
    <n v="18"/>
    <n v="181"/>
    <n v="166.10367123287674"/>
    <n v="8.6163287671232887"/>
    <n v="12.5"/>
    <n v="0.18"/>
    <n v="2.6339040000000002"/>
    <n v="0"/>
  </r>
  <r>
    <s v="Kvæg"/>
    <m/>
    <s v="1 avlstyr (1 årsdyr), Jersey, over 328 kg"/>
    <x v="4"/>
    <s v="Dybstrøelse, lang ædeplads,fast gulv"/>
    <x v="0"/>
    <m/>
    <n v="0"/>
    <m/>
    <m/>
    <s v="Dybstrøelse"/>
    <m/>
    <m/>
    <n v="0"/>
    <n v="3.31"/>
    <n v="0.3"/>
    <n v="18"/>
    <n v="181"/>
    <n v="943.60532342465763"/>
    <n v="0"/>
    <n v="17"/>
    <n v="0.18"/>
    <n v="19.345796340852331"/>
    <n v="0"/>
  </r>
  <r>
    <s v="Kvæg"/>
    <n v="1236"/>
    <s v="1 avlstyr (1 årsdyr), Jersey, over 328 kg"/>
    <x v="4"/>
    <s v="Dybstrøelse,lang ædeplads,spalter(kanal,bagskyl/ringkanal)"/>
    <x v="0"/>
    <n v="123607"/>
    <n v="124843"/>
    <n v="0"/>
    <s v="Kvæggylle"/>
    <m/>
    <n v="2.1"/>
    <n v="0.10400000000000001"/>
    <n v="0"/>
    <m/>
    <m/>
    <n v="18"/>
    <n v="181"/>
    <n v="166.10367123287674"/>
    <n v="8.6163287671232887"/>
    <n v="12.5"/>
    <n v="0.18"/>
    <n v="2.6339040000000002"/>
    <n v="0"/>
  </r>
  <r>
    <s v="Kvæg"/>
    <m/>
    <s v="1 avlstyr (1 årsdyr), Jersey, over 328 kg"/>
    <x v="4"/>
    <s v="Dybstrøelse,lang ædeplads,spalter(kanal,bagskyl/ringkanal)"/>
    <x v="0"/>
    <m/>
    <n v="0"/>
    <m/>
    <m/>
    <s v="Dybstrøelse"/>
    <m/>
    <m/>
    <n v="0"/>
    <n v="3.31"/>
    <n v="0.3"/>
    <n v="18"/>
    <n v="181"/>
    <n v="943.60532342465763"/>
    <n v="0"/>
    <n v="17"/>
    <n v="0.18"/>
    <n v="19.345796340852331"/>
    <n v="0"/>
  </r>
  <r>
    <s v="Kvæg"/>
    <n v="1236"/>
    <s v="1 avlstyr (1 årsdyr), Jersey, over 328 kg"/>
    <x v="4"/>
    <s v="Sengestald med fast gulv"/>
    <x v="5"/>
    <n v="123610"/>
    <n v="124846"/>
    <n v="0"/>
    <s v="Kvæggylle"/>
    <m/>
    <n v="4.6399999999999997"/>
    <n v="0.127"/>
    <n v="0"/>
    <n v="5.75"/>
    <n v="0.26"/>
    <n v="18"/>
    <n v="181"/>
    <n v="1868.8100924657533"/>
    <n v="23.248306849315071"/>
    <n v="12.5"/>
    <n v="0.18"/>
    <n v="28.522780369674656"/>
    <n v="0"/>
  </r>
  <r>
    <s v="Kvæg"/>
    <n v="1236"/>
    <s v="1 avlstyr (1 årsdyr), Jersey, over 328 kg"/>
    <x v="4"/>
    <s v="Sengestald med spaltegulv (kanal, bagskyl eller ri"/>
    <x v="5"/>
    <n v="123612"/>
    <n v="124848"/>
    <n v="0"/>
    <s v="Kvæggylle"/>
    <m/>
    <n v="4.6399999999999997"/>
    <n v="0.127"/>
    <n v="0"/>
    <n v="1.21"/>
    <n v="0.34599999999999997"/>
    <n v="18"/>
    <n v="181"/>
    <n v="846.01034038630132"/>
    <n v="23.248306849315071"/>
    <n v="12.5"/>
    <n v="0.18"/>
    <n v="13.104074107076919"/>
    <n v="0"/>
  </r>
  <r>
    <s v="Kvæg"/>
    <n v="1236"/>
    <s v="1 avlstyr (1 årsdyr), Jersey, over 328 kg"/>
    <x v="4"/>
    <s v="Sengestald med spaltegulv (kanal, linespil)"/>
    <x v="5"/>
    <n v="123611"/>
    <n v="124847"/>
    <n v="0"/>
    <s v="Kvæggylle"/>
    <m/>
    <n v="4.6399999999999997"/>
    <n v="0.127"/>
    <n v="0"/>
    <m/>
    <m/>
    <n v="18"/>
    <n v="181"/>
    <n v="448.17569315068488"/>
    <n v="23.248306849315071"/>
    <n v="12.5"/>
    <n v="0.18"/>
    <n v="7.1067167999999992"/>
    <n v="0"/>
  </r>
  <r>
    <s v="Kvæg"/>
    <n v="1236"/>
    <s v="1 avlstyr (1 årsdyr), Jersey, over 328 kg"/>
    <x v="4"/>
    <s v="Sengestald, fast drænet gulv med skraber og ajleaf"/>
    <x v="5"/>
    <n v="123619"/>
    <n v="124855"/>
    <n v="0"/>
    <s v="Kvæggylle"/>
    <m/>
    <n v="4.6399999999999997"/>
    <n v="0.127"/>
    <n v="0"/>
    <m/>
    <m/>
    <n v="18"/>
    <n v="181"/>
    <n v="448.17569315068488"/>
    <n v="23.248306849315071"/>
    <n v="12.5"/>
    <n v="0.18"/>
    <n v="7.1067167999999992"/>
    <n v="0"/>
  </r>
  <r>
    <s v="Kvæg"/>
    <n v="1236"/>
    <s v="1 avlstyr (1 årsdyr), Jersey, over 328 kg"/>
    <x v="4"/>
    <s v="Spaltegulvbokse"/>
    <x v="6"/>
    <n v="123609"/>
    <n v="124845"/>
    <n v="0"/>
    <s v="Kvæggylle"/>
    <m/>
    <n v="5.46"/>
    <n v="0.1"/>
    <n v="0"/>
    <m/>
    <m/>
    <n v="18"/>
    <n v="181"/>
    <n v="415.25917808219185"/>
    <n v="21.54082191780822"/>
    <n v="12.5"/>
    <n v="0.18"/>
    <n v="6.5847600000000011"/>
    <n v="0"/>
  </r>
  <r>
    <s v="Kvæg"/>
    <n v="1206"/>
    <s v="1 avlstyr (1 årsdyr), tung race, over 440 kg"/>
    <x v="4"/>
    <s v="Bindestald med grebning"/>
    <x v="4"/>
    <n v="120601"/>
    <n v="121807"/>
    <n v="0"/>
    <s v="Fast gødning"/>
    <m/>
    <n v="4.51"/>
    <n v="0.182"/>
    <n v="0"/>
    <n v="0.06"/>
    <n v="0.35"/>
    <n v="18"/>
    <n v="181"/>
    <n v="644.22836397260278"/>
    <n v="32.383035616438356"/>
    <n v="2"/>
    <n v="0.18"/>
    <n v="1.6319866958087672"/>
    <n v="0"/>
  </r>
  <r>
    <s v="Kvæg"/>
    <m/>
    <s v="1 avlstyr (1 årsdyr), tung race, over 440 kg"/>
    <x v="4"/>
    <s v="Bindestald med grebning"/>
    <x v="4"/>
    <m/>
    <n v="0"/>
    <m/>
    <s v="Ajle"/>
    <m/>
    <n v="3.17"/>
    <n v="3.4000000000000002E-2"/>
    <n v="0"/>
    <m/>
    <m/>
    <n v="18"/>
    <n v="181"/>
    <n v="81.971857534246595"/>
    <n v="4.2521424657534252"/>
    <n v="12.5"/>
    <n v="0.18"/>
    <n v="1.2998268000000004"/>
    <n v="0"/>
  </r>
  <r>
    <s v="Kvæg"/>
    <n v="1206"/>
    <s v="1 avlstyr (1 årsdyr), tung race, over 440 kg"/>
    <x v="4"/>
    <s v="Bindestald med riste"/>
    <x v="4"/>
    <n v="120602"/>
    <n v="121808"/>
    <n v="0"/>
    <s v="Kvæggylle"/>
    <m/>
    <n v="7.22"/>
    <n v="0.12300000000000001"/>
    <n v="0"/>
    <m/>
    <m/>
    <n v="18"/>
    <n v="181"/>
    <n v="675.41220821917807"/>
    <n v="35.035791780821917"/>
    <n v="12.5"/>
    <n v="0.18"/>
    <n v="10.710003600000002"/>
    <n v="0"/>
  </r>
  <r>
    <s v="Kvæg"/>
    <n v="1206"/>
    <s v="1 avlstyr (1 årsdyr), tung race, over 440 kg"/>
    <x v="4"/>
    <s v="Dybstrøelse + kort ædeplads med fast gulv"/>
    <x v="0"/>
    <n v="120604"/>
    <n v="121810"/>
    <n v="0"/>
    <m/>
    <s v="Dybstrøelse"/>
    <m/>
    <m/>
    <n v="0"/>
    <n v="4.88"/>
    <n v="0.3"/>
    <n v="18"/>
    <n v="181"/>
    <n v="1391.1764284931508"/>
    <n v="0"/>
    <n v="17"/>
    <n v="0.18"/>
    <n v="28.521899136966582"/>
    <n v="0"/>
  </r>
  <r>
    <s v="Kvæg"/>
    <n v="1206"/>
    <s v="1 avlstyr (1 årsdyr), tung race, over 440 kg"/>
    <x v="4"/>
    <s v="Dybstrøelse, hele arealet"/>
    <x v="0"/>
    <n v="120603"/>
    <n v="121809"/>
    <n v="9.8699999999999992"/>
    <m/>
    <s v="Dybstrøelse"/>
    <m/>
    <m/>
    <n v="0"/>
    <n v="5.52"/>
    <n v="0.3"/>
    <n v="18"/>
    <n v="181"/>
    <n v="1573.6257961643835"/>
    <n v="0"/>
    <n v="17"/>
    <n v="0.18"/>
    <n v="32.262476072962187"/>
    <n v="0.31843063884013673"/>
  </r>
  <r>
    <s v="Kvæg"/>
    <n v="1206"/>
    <s v="1 avlstyr (1 årsdyr), tung race, over 440 kg"/>
    <x v="4"/>
    <s v="Dybstrøelse, lang ædeplads med fast gulv"/>
    <x v="0"/>
    <n v="120605"/>
    <n v="121811"/>
    <n v="0"/>
    <s v="Kvæggylle"/>
    <m/>
    <n v="2.65"/>
    <n v="0.11"/>
    <n v="0"/>
    <m/>
    <m/>
    <n v="18"/>
    <n v="181"/>
    <n v="221.69972602739728"/>
    <n v="11.50027397260274"/>
    <n v="12.5"/>
    <n v="0.18"/>
    <n v="3.5154900000000002"/>
    <n v="0"/>
  </r>
  <r>
    <s v="Kvæg"/>
    <m/>
    <s v="1 avlstyr (1 årsdyr), tung race, over 440 kg"/>
    <x v="4"/>
    <s v="Dybstrøelse, lang ædeplads med fast gulv"/>
    <x v="0"/>
    <m/>
    <n v="0"/>
    <m/>
    <m/>
    <s v="Dybstrøelse"/>
    <m/>
    <m/>
    <n v="0"/>
    <n v="4.2"/>
    <n v="0.3"/>
    <n v="18"/>
    <n v="181"/>
    <n v="1197.3239753424657"/>
    <n v="0"/>
    <n v="17"/>
    <n v="0.18"/>
    <n v="24.54753614247123"/>
    <n v="0"/>
  </r>
  <r>
    <s v="Kvæg"/>
    <n v="1206"/>
    <s v="1 avlstyr (1 årsdyr), tung race, over 440 kg"/>
    <x v="4"/>
    <s v="Dybstrøelse, lang ædeplads med spalter (kanal, lin"/>
    <x v="0"/>
    <n v="120607"/>
    <n v="121813"/>
    <n v="0"/>
    <s v="Kvæggylle"/>
    <m/>
    <n v="2.65"/>
    <n v="0.11"/>
    <n v="0"/>
    <m/>
    <m/>
    <n v="18"/>
    <n v="181"/>
    <n v="221.69972602739728"/>
    <n v="11.50027397260274"/>
    <n v="12.5"/>
    <n v="0.18"/>
    <n v="3.5154900000000002"/>
    <n v="0"/>
  </r>
  <r>
    <s v="Kvæg"/>
    <m/>
    <s v="1 avlstyr (1 årsdyr), tung race, over 440 kg"/>
    <x v="4"/>
    <s v="Dybstrøelse, lang ædeplads med spalter (kanal, lin"/>
    <x v="0"/>
    <m/>
    <n v="0"/>
    <m/>
    <m/>
    <s v="Dybstrøelse"/>
    <m/>
    <m/>
    <n v="0"/>
    <n v="4.2"/>
    <n v="0.3"/>
    <n v="18"/>
    <n v="181"/>
    <n v="1197.3239753424657"/>
    <n v="0"/>
    <n v="17"/>
    <n v="0.18"/>
    <n v="24.54753614247123"/>
    <n v="0"/>
  </r>
  <r>
    <s v="Kvæg"/>
    <n v="1206"/>
    <s v="1 avlstyr (1 årsdyr), tung race, over 440 kg"/>
    <x v="4"/>
    <s v="Dybstrøelse, lang ædepladsmedspalter (kanal, bag"/>
    <x v="0"/>
    <n v="120606"/>
    <n v="121812"/>
    <n v="0"/>
    <s v="Kvæggylle"/>
    <m/>
    <n v="2.65"/>
    <n v="0.11"/>
    <n v="0"/>
    <m/>
    <m/>
    <n v="18"/>
    <n v="181"/>
    <n v="221.69972602739728"/>
    <n v="11.50027397260274"/>
    <n v="12.5"/>
    <n v="0.18"/>
    <n v="3.5154900000000002"/>
    <n v="0"/>
  </r>
  <r>
    <s v="Kvæg"/>
    <m/>
    <s v="1 avlstyr (1 årsdyr), tung race, over 440 kg"/>
    <x v="4"/>
    <s v="Dybstrøelse, lang ædepladsmedspalter (kanal, bag"/>
    <x v="0"/>
    <m/>
    <n v="0"/>
    <m/>
    <m/>
    <s v="Dybstrøelse"/>
    <m/>
    <m/>
    <n v="0"/>
    <n v="4.2"/>
    <n v="0.3"/>
    <n v="18"/>
    <n v="181"/>
    <n v="1197.3239753424657"/>
    <n v="0"/>
    <n v="17"/>
    <n v="0.18"/>
    <n v="24.54753614247123"/>
    <n v="0"/>
  </r>
  <r>
    <s v="Kvæg"/>
    <n v="1206"/>
    <s v="1 avlstyr (1 årsdyr), tung race, over 440 kg"/>
    <x v="4"/>
    <s v="Sengestald med fast gulv"/>
    <x v="5"/>
    <n v="120610"/>
    <n v="121816"/>
    <n v="0"/>
    <s v="Kvæggylle"/>
    <m/>
    <n v="6.44"/>
    <n v="0.12300000000000001"/>
    <n v="0"/>
    <m/>
    <m/>
    <n v="18"/>
    <n v="181"/>
    <n v="602.4452383561644"/>
    <n v="31.250761643835617"/>
    <n v="12.5"/>
    <n v="0.18"/>
    <n v="9.5529671999999994"/>
    <n v="0"/>
  </r>
  <r>
    <s v="Kvæg"/>
    <n v="1206"/>
    <s v="1 avlstyr (1 årsdyr), tung race, over 440 kg"/>
    <x v="4"/>
    <s v="Sengestald med spaltegulv (kanal, bagskyl eller ri"/>
    <x v="5"/>
    <n v="120612"/>
    <n v="121818"/>
    <n v="0"/>
    <s v="Kvæggylle"/>
    <m/>
    <n v="6.44"/>
    <n v="0.12300000000000001"/>
    <n v="0"/>
    <m/>
    <m/>
    <n v="18"/>
    <n v="181"/>
    <n v="602.4452383561644"/>
    <n v="31.250761643835617"/>
    <n v="12.5"/>
    <n v="0.18"/>
    <n v="9.5529671999999994"/>
    <n v="0"/>
  </r>
  <r>
    <s v="Kvæg"/>
    <n v="1206"/>
    <s v="1 avlstyr (1 årsdyr), tung race, over 440 kg"/>
    <x v="4"/>
    <s v="Sengestald med spaltegulv (kanal, linespil)"/>
    <x v="5"/>
    <n v="120611"/>
    <n v="121817"/>
    <n v="0"/>
    <s v="Kvæggylle"/>
    <m/>
    <n v="6.44"/>
    <n v="0.12300000000000001"/>
    <n v="0"/>
    <m/>
    <m/>
    <n v="18"/>
    <n v="181"/>
    <n v="602.4452383561644"/>
    <n v="31.250761643835617"/>
    <n v="12.5"/>
    <n v="0.18"/>
    <n v="9.5529671999999994"/>
    <n v="0"/>
  </r>
  <r>
    <s v="Kvæg"/>
    <n v="1206"/>
    <s v="1 avlstyr (1 årsdyr), tung race, over 440 kg"/>
    <x v="4"/>
    <s v="Spaltegulvbokse"/>
    <x v="6"/>
    <n v="120619"/>
    <n v="121825"/>
    <n v="0"/>
    <s v="Kvæggylle"/>
    <m/>
    <n v="7.28"/>
    <n v="0.1"/>
    <n v="0"/>
    <m/>
    <m/>
    <n v="18"/>
    <n v="181"/>
    <n v="553.6789041095891"/>
    <n v="28.721095890410965"/>
    <n v="12.5"/>
    <n v="0.18"/>
    <n v="8.7796800000000008"/>
    <n v="0"/>
  </r>
  <r>
    <s v="Kvæg"/>
    <n v="1206"/>
    <s v="1 avlstyr (1årsdyr), tung race, over 440 kg"/>
    <x v="4"/>
    <s v="Sengestald, fast drænet gulv med skraber og ajleaf"/>
    <x v="5"/>
    <n v="120609"/>
    <n v="121815"/>
    <n v="0"/>
    <s v="Kvæggylle"/>
    <m/>
    <n v="6.44"/>
    <n v="0.12300000000000001"/>
    <n v="0"/>
    <m/>
    <m/>
    <n v="18"/>
    <n v="181"/>
    <n v="602.4452383561644"/>
    <n v="31.250761643835617"/>
    <n v="12.5"/>
    <n v="0.18"/>
    <n v="9.5529671999999994"/>
    <n v="0"/>
  </r>
  <r>
    <s v="Kvæg"/>
    <n v="1234"/>
    <s v="1 stk. slagtekalv, 0-6 mdr., Jersey."/>
    <x v="5"/>
    <s v="Dybstrøelse (hele arealet)"/>
    <x v="0"/>
    <n v="123401"/>
    <n v="124635"/>
    <n v="8.31"/>
    <m/>
    <s v="Dybstrøelse"/>
    <m/>
    <m/>
    <n v="0"/>
    <n v="1.48"/>
    <n v="0.3"/>
    <n v="18"/>
    <n v="224"/>
    <n v="421.91416273972607"/>
    <n v="17.516712328767127"/>
    <n v="17"/>
    <n v="0.18"/>
    <n v="9.0092118006542474"/>
    <n v="7.4866550063436801E-2"/>
  </r>
  <r>
    <s v="Kvæg"/>
    <n v="1234"/>
    <s v="1 stk. slagtekalv, 0-6 mdr., Jersey."/>
    <x v="5"/>
    <s v="Dybstrøelse + kort ædeplads med fast gulv"/>
    <x v="0"/>
    <n v="123402"/>
    <n v="124636"/>
    <n v="0"/>
    <m/>
    <s v="Dybstrøelse"/>
    <m/>
    <m/>
    <n v="0"/>
    <n v="1.48"/>
    <n v="0.3"/>
    <n v="18"/>
    <n v="224"/>
    <n v="421.91416273972607"/>
    <n v="17.516712328767127"/>
    <n v="3"/>
    <n v="0.18"/>
    <n v="1.5898609059978084"/>
    <n v="0"/>
  </r>
  <r>
    <s v="Kvæg"/>
    <n v="1204"/>
    <s v="1 stk. slagtekalv, 0-6 mdr., tung race."/>
    <x v="5"/>
    <s v="Dybstrøelse (hele arealet)"/>
    <x v="0"/>
    <n v="120401"/>
    <n v="121605"/>
    <n v="485"/>
    <m/>
    <s v="Dybstrøelse"/>
    <m/>
    <m/>
    <n v="0"/>
    <n v="0.98"/>
    <n v="0.3"/>
    <n v="18"/>
    <n v="224"/>
    <n v="279.37559424657536"/>
    <n v="11.598904109589043"/>
    <n v="17"/>
    <n v="0.18"/>
    <n v="5.9655591652980817"/>
    <n v="2.8932961951695697"/>
  </r>
  <r>
    <s v="Kvæg"/>
    <n v="1204"/>
    <s v="1 stk. slagtekalv, 0-6 mdr., tung race."/>
    <x v="5"/>
    <s v="Dybstrøelse + kort ædeplads med fast gulv"/>
    <x v="0"/>
    <n v="120402"/>
    <n v="121606"/>
    <n v="0"/>
    <m/>
    <s v="Dybstrøelse"/>
    <m/>
    <m/>
    <n v="0"/>
    <n v="0.98"/>
    <n v="0.3"/>
    <n v="18"/>
    <n v="224"/>
    <n v="279.37559424657536"/>
    <n v="11.598904109589043"/>
    <n v="3"/>
    <n v="0.18"/>
    <n v="1.0527457350526028"/>
    <n v="0"/>
  </r>
  <r>
    <s v="Kvæg"/>
    <n v="1235"/>
    <s v="1 stk. slagtekalve 6 mdr. - slagtning (328 kg), Jersey."/>
    <x v="6"/>
    <s v="Bindestald med grebning"/>
    <x v="4"/>
    <n v="123501"/>
    <n v="124736"/>
    <n v="0"/>
    <s v="Fast gødning"/>
    <m/>
    <n v="1.48"/>
    <n v="0.21100000000000002"/>
    <n v="0"/>
    <m/>
    <m/>
    <n v="18"/>
    <n v="181"/>
    <n v="237.5039123287672"/>
    <n v="12.32008767123288"/>
    <n v="2"/>
    <n v="0.18"/>
    <n v="0.60257548800000027"/>
    <n v="0"/>
  </r>
  <r>
    <s v="Kvæg"/>
    <m/>
    <s v="1 stk. slagtekalve 6 mdr. - slagtning (328 kg), Jersey."/>
    <x v="6"/>
    <s v="Bindestald med grebning"/>
    <x v="4"/>
    <m/>
    <n v="0"/>
    <m/>
    <s v="Ajle"/>
    <m/>
    <n v="1.07"/>
    <n v="3.1E-2"/>
    <n v="0"/>
    <m/>
    <m/>
    <n v="18"/>
    <n v="181"/>
    <n v="25.227375342465756"/>
    <n v="1.3086246575342466"/>
    <n v="12.5"/>
    <n v="0.18"/>
    <n v="0.40003020000000006"/>
    <n v="0"/>
  </r>
  <r>
    <s v="Kvæg"/>
    <n v="1235"/>
    <s v="1 stk. slagtekalve 6 mdr. - slagtning (328 kg), Jersey."/>
    <x v="6"/>
    <s v="Bindestald med riste"/>
    <x v="4"/>
    <n v="123502"/>
    <n v="124737"/>
    <n v="0"/>
    <s v="Kvæggylle"/>
    <m/>
    <n v="3.12"/>
    <n v="0.108"/>
    <n v="0"/>
    <m/>
    <m/>
    <n v="18"/>
    <n v="181"/>
    <n v="256.27423561643838"/>
    <n v="13.293764383561646"/>
    <n v="12.5"/>
    <n v="0.18"/>
    <n v="4.0637376000000005"/>
    <n v="0"/>
  </r>
  <r>
    <s v="Kvæg"/>
    <n v="1235"/>
    <s v="1 stk. slagtekalve 6 mdr. - slagtning (328 kg), Jersey."/>
    <x v="6"/>
    <s v="Dybstrøelse hele arealet+kort ædeplads,fast gulv"/>
    <x v="0"/>
    <n v="123504"/>
    <n v="124739"/>
    <n v="0"/>
    <m/>
    <s v="Dybstrøelse"/>
    <m/>
    <m/>
    <n v="0"/>
    <n v="1.71"/>
    <n v="0.3"/>
    <n v="18"/>
    <n v="181"/>
    <n v="487.48190424657531"/>
    <n v="20.23890410958904"/>
    <n v="3"/>
    <n v="0.18"/>
    <n v="1.8369338846326027"/>
    <n v="0"/>
  </r>
  <r>
    <s v="Kvæg"/>
    <n v="1235"/>
    <s v="1 stk. slagtekalve 6 mdr. - slagtning (328 kg), Jersey."/>
    <x v="6"/>
    <s v="Dybstrøelse, hele arealet"/>
    <x v="0"/>
    <n v="123503"/>
    <n v="124738"/>
    <n v="31.85"/>
    <m/>
    <s v="Dybstrøelse"/>
    <m/>
    <m/>
    <n v="0"/>
    <n v="1.95"/>
    <n v="0.3"/>
    <n v="18"/>
    <n v="181"/>
    <n v="555.90041712328764"/>
    <n v="23.079452054794523"/>
    <n v="17"/>
    <n v="0.18"/>
    <n v="11.870245277889042"/>
    <n v="0.378067312100766"/>
  </r>
  <r>
    <s v="Kvæg"/>
    <n v="1235"/>
    <s v="1 stk. slagtekalve 6 mdr. - slagtning (328 kg), Jersey."/>
    <x v="6"/>
    <s v="Dybstrøelse, lang ædeplads, spalter(kanal, linespil)"/>
    <x v="0"/>
    <n v="123506"/>
    <n v="124741"/>
    <n v="0"/>
    <s v="Kvæggylle"/>
    <m/>
    <n v="1.1399999999999999"/>
    <n v="8.4000000000000005E-2"/>
    <n v="0"/>
    <m/>
    <m/>
    <n v="18"/>
    <n v="181"/>
    <n v="72.830071232876719"/>
    <n v="3.7779287671232886"/>
    <n v="12.5"/>
    <n v="0.18"/>
    <n v="1.1548656000000002"/>
    <n v="0"/>
  </r>
  <r>
    <s v="Kvæg"/>
    <m/>
    <s v="1 stk. slagtekalve 6 mdr. - slagtning (328 kg), Jersey."/>
    <x v="6"/>
    <s v="Dybstrøelse, lang ædeplads, spalter(kanal, linespil)"/>
    <x v="0"/>
    <m/>
    <n v="0"/>
    <m/>
    <m/>
    <s v="Dybstrøelse"/>
    <m/>
    <m/>
    <n v="0"/>
    <n v="1.44"/>
    <n v="0.3"/>
    <n v="18"/>
    <n v="181"/>
    <n v="410.51107726027391"/>
    <n v="17.043287671232875"/>
    <n v="17"/>
    <n v="0.18"/>
    <n v="8.7657195898257534"/>
    <n v="0"/>
  </r>
  <r>
    <s v="Kvæg"/>
    <n v="1235"/>
    <s v="1 stk. slagtekalve 6 mdr. - slagtning (328 kg), Jersey."/>
    <x v="6"/>
    <s v="Dybstrøelse, lang ædeplads,fast gulv"/>
    <x v="0"/>
    <n v="123505"/>
    <n v="124740"/>
    <n v="0"/>
    <s v="Kvæggylle"/>
    <m/>
    <n v="1.1399999999999999"/>
    <n v="8.4000000000000005E-2"/>
    <n v="0"/>
    <m/>
    <m/>
    <n v="18"/>
    <n v="181"/>
    <n v="72.830071232876719"/>
    <n v="3.7779287671232886"/>
    <n v="12.5"/>
    <n v="0.18"/>
    <n v="1.1548656000000002"/>
    <n v="0"/>
  </r>
  <r>
    <s v="Kvæg"/>
    <m/>
    <s v="1 stk. slagtekalve 6 mdr. - slagtning (328 kg), Jersey."/>
    <x v="6"/>
    <s v="Dybstrøelse, lang ædeplads,fast gulv"/>
    <x v="0"/>
    <m/>
    <n v="0"/>
    <m/>
    <m/>
    <s v="Dybstrøelse"/>
    <m/>
    <m/>
    <n v="0"/>
    <n v="1.44"/>
    <n v="0.3"/>
    <n v="18"/>
    <n v="181"/>
    <n v="410.51107726027391"/>
    <n v="17.043287671232875"/>
    <n v="3"/>
    <n v="0.18"/>
    <n v="1.5468916923221916"/>
    <n v="0"/>
  </r>
  <r>
    <s v="Kvæg"/>
    <n v="1235"/>
    <s v="1 stk. slagtekalve 6 mdr. - slagtning (328 kg), Jersey."/>
    <x v="6"/>
    <s v="Dybstrøelse,lang ædeplads,spalter(kanal,bagskyl/ringkanal)"/>
    <x v="0"/>
    <n v="123507"/>
    <n v="124742"/>
    <n v="0"/>
    <s v="Kvæggylle"/>
    <m/>
    <n v="1.1399999999999999"/>
    <n v="8.4000000000000005E-2"/>
    <n v="0"/>
    <m/>
    <m/>
    <n v="18"/>
    <n v="181"/>
    <n v="72.830071232876719"/>
    <n v="3.7779287671232886"/>
    <n v="12.5"/>
    <n v="0.18"/>
    <n v="1.1548656000000002"/>
    <n v="0"/>
  </r>
  <r>
    <s v="Kvæg"/>
    <m/>
    <s v="1 stk. slagtekalve 6 mdr. - slagtning (328 kg), Jersey."/>
    <x v="6"/>
    <s v="Dybstrøelse,lang ædeplads,spalter(kanal,bagskyl/ringkanal)"/>
    <x v="0"/>
    <m/>
    <n v="0"/>
    <m/>
    <m/>
    <s v="Dybstrøelse"/>
    <m/>
    <m/>
    <n v="0"/>
    <n v="1.44"/>
    <n v="0.3"/>
    <n v="18"/>
    <n v="181"/>
    <n v="410.51107726027391"/>
    <n v="17.043287671232875"/>
    <n v="17"/>
    <n v="0.18"/>
    <n v="8.7657195898257534"/>
    <n v="0"/>
  </r>
  <r>
    <s v="Kvæg"/>
    <n v="1235"/>
    <s v="1 stk. slagtekalve 6 mdr. - slagtning (328 kg), Jersey."/>
    <x v="6"/>
    <s v="Sengestald med fast gulv"/>
    <x v="5"/>
    <n v="123513"/>
    <n v="124748"/>
    <n v="0"/>
    <s v="Kvæggylle"/>
    <m/>
    <n v="2.14"/>
    <n v="0.127"/>
    <n v="0"/>
    <m/>
    <m/>
    <n v="18"/>
    <n v="181"/>
    <n v="206.70172054794523"/>
    <n v="10.722279452054796"/>
    <n v="12.5"/>
    <n v="0.18"/>
    <n v="3.2776668000000004"/>
    <n v="0"/>
  </r>
  <r>
    <s v="Kvæg"/>
    <n v="1235"/>
    <s v="1 stk. slagtekalve 6 mdr. - slagtning (328 kg), Jersey."/>
    <x v="6"/>
    <s v="Sengestald med spalter (kanal, bagskyl eller ringk"/>
    <x v="5"/>
    <n v="123515"/>
    <n v="124750"/>
    <n v="0"/>
    <s v="Kvæggylle"/>
    <m/>
    <n v="2.14"/>
    <n v="0.128"/>
    <n v="0"/>
    <m/>
    <m/>
    <n v="18"/>
    <n v="181"/>
    <n v="208.32929315068498"/>
    <n v="10.80670684931507"/>
    <n v="12.5"/>
    <n v="0.18"/>
    <n v="3.3034752000000003"/>
    <n v="0"/>
  </r>
  <r>
    <s v="Kvæg"/>
    <n v="1235"/>
    <s v="1 stk. slagtekalve 6 mdr. - slagtning (328 kg), Jersey."/>
    <x v="6"/>
    <s v="Sengestald med spalter (kanal, linespil)"/>
    <x v="5"/>
    <n v="123514"/>
    <n v="124749"/>
    <n v="0"/>
    <s v="Kvæggylle"/>
    <m/>
    <n v="2.14"/>
    <n v="0.127"/>
    <n v="0"/>
    <m/>
    <m/>
    <n v="18"/>
    <n v="181"/>
    <n v="206.70172054794523"/>
    <n v="10.722279452054796"/>
    <n v="12.5"/>
    <n v="0.18"/>
    <n v="3.2776668000000004"/>
    <n v="0"/>
  </r>
  <r>
    <s v="Kvæg"/>
    <n v="1235"/>
    <s v="1 stk. slagtekalve 6 mdr. - slagtning (328 kg), Jersey."/>
    <x v="6"/>
    <s v="Sengestald, fast drænet gulv med skraber og ajleaf"/>
    <x v="5"/>
    <n v="123519"/>
    <n v="124754"/>
    <n v="0"/>
    <s v="Kvæggylle"/>
    <m/>
    <n v="2.14"/>
    <n v="0.127"/>
    <n v="0"/>
    <m/>
    <m/>
    <n v="18"/>
    <n v="181"/>
    <n v="206.70172054794523"/>
    <n v="10.722279452054796"/>
    <n v="12.5"/>
    <n v="0.18"/>
    <n v="3.2776668000000004"/>
    <n v="0"/>
  </r>
  <r>
    <s v="Kvæg"/>
    <n v="1235"/>
    <s v="1 stk. slagtekalve 6 mdr. - slagtning (328 kg), Jersey."/>
    <x v="6"/>
    <s v="Spaltegulvbokse"/>
    <x v="6"/>
    <n v="123509"/>
    <n v="124744"/>
    <n v="0"/>
    <s v="Kvæggylle"/>
    <m/>
    <n v="2.4500000000000002"/>
    <n v="9.8000000000000004E-2"/>
    <n v="0"/>
    <m/>
    <m/>
    <n v="18"/>
    <n v="181"/>
    <n v="182.60756164383562"/>
    <n v="9.4724383561643837"/>
    <n v="12.5"/>
    <n v="0.18"/>
    <n v="2.8956060000000003"/>
    <n v="0"/>
  </r>
  <r>
    <s v="Kvæg"/>
    <n v="1205"/>
    <s v="1 stk. slagtekalve, 6 mdr. - slagtning (440 kg), tung race."/>
    <x v="6"/>
    <s v="Bindestald med grebning"/>
    <x v="4"/>
    <n v="120501"/>
    <n v="121706"/>
    <n v="5.1100000000000003"/>
    <s v="Fast gødning"/>
    <m/>
    <n v="1.92"/>
    <n v="0.20599999999999999"/>
    <n v="9.8111999999999995"/>
    <m/>
    <m/>
    <n v="18"/>
    <n v="181"/>
    <n v="300.81192328767116"/>
    <n v="15.604076712328764"/>
    <n v="2"/>
    <n v="0.18"/>
    <n v="0.76319539199999986"/>
    <n v="3.8999284531199994E-3"/>
  </r>
  <r>
    <s v="Kvæg"/>
    <m/>
    <s v="1 stk. slagtekalve, 6 mdr. - slagtning (440 kg), tung race."/>
    <x v="6"/>
    <s v="Bindestald med grebning"/>
    <x v="4"/>
    <m/>
    <n v="0"/>
    <m/>
    <s v="Ajle"/>
    <m/>
    <n v="1.36"/>
    <n v="3.1E-2"/>
    <n v="0"/>
    <m/>
    <m/>
    <n v="18"/>
    <n v="181"/>
    <n v="32.064701369863009"/>
    <n v="1.6632986301369863"/>
    <n v="12.5"/>
    <n v="0.18"/>
    <n v="0.50844959999999995"/>
    <n v="2.5981774559999996E-3"/>
  </r>
  <r>
    <s v="Kvæg"/>
    <n v="1205"/>
    <s v="1 stk. slagtekalve, 6 mdr. - slagtning (440 kg), tung race."/>
    <x v="6"/>
    <s v="Bindestald med riste"/>
    <x v="4"/>
    <n v="120502"/>
    <n v="121707"/>
    <n v="0"/>
    <s v="Kvæggylle"/>
    <m/>
    <n v="3.31"/>
    <n v="0.128"/>
    <n v="0"/>
    <m/>
    <m/>
    <n v="18"/>
    <n v="181"/>
    <n v="322.22895342465756"/>
    <n v="16.715046575342466"/>
    <n v="12.5"/>
    <n v="0.18"/>
    <n v="5.1095808000000007"/>
    <n v="0"/>
  </r>
  <r>
    <s v="Kvæg"/>
    <n v="1205"/>
    <s v="1 stk. slagtekalve, 6 mdr. - slagtning (440 kg), tung race."/>
    <x v="6"/>
    <s v="Dybstrøelse + kort ædeplads med fast gulv"/>
    <x v="0"/>
    <n v="120504"/>
    <n v="121709"/>
    <n v="139.69"/>
    <m/>
    <s v="Dybstrøelse"/>
    <m/>
    <m/>
    <n v="0"/>
    <n v="2.2400000000000002"/>
    <n v="0.3"/>
    <n v="18"/>
    <n v="181"/>
    <n v="638.57278684931498"/>
    <n v="26.511780821917803"/>
    <n v="3"/>
    <n v="0.18"/>
    <n v="2.4062759658345203"/>
    <n v="0.33613268966742416"/>
  </r>
  <r>
    <s v="Kvæg"/>
    <n v="1205"/>
    <s v="1 stk. slagtekalve, 6 mdr. - slagtning (440 kg), tung race."/>
    <x v="6"/>
    <s v="Dybstrøelse, hele arealet"/>
    <x v="0"/>
    <n v="120503"/>
    <n v="121708"/>
    <n v="376.81"/>
    <m/>
    <s v="Dybstrøelse"/>
    <m/>
    <m/>
    <n v="0"/>
    <n v="2.5299999999999998"/>
    <n v="0.3"/>
    <n v="18"/>
    <n v="181"/>
    <n v="721.24515657534243"/>
    <n v="29.944109589041098"/>
    <n v="17"/>
    <n v="0.18"/>
    <n v="15.400882334902189"/>
    <n v="5.8032064726144936"/>
  </r>
  <r>
    <s v="Kvæg"/>
    <n v="1205"/>
    <s v="1 stk. slagtekalve, 6 mdr. - slagtning (440 kg), tung race."/>
    <x v="6"/>
    <s v="Dybstrøelse, lang ædeplads med fast gulv"/>
    <x v="0"/>
    <n v="120505"/>
    <n v="121710"/>
    <n v="0"/>
    <s v="Kvæggylle"/>
    <m/>
    <n v="1.36"/>
    <n v="8.8999999999999996E-2"/>
    <n v="0"/>
    <m/>
    <m/>
    <n v="18"/>
    <n v="181"/>
    <n v="92.056723287671218"/>
    <n v="4.7752767123287665"/>
    <n v="12.5"/>
    <n v="0.18"/>
    <n v="1.4597423999999997"/>
    <n v="0"/>
  </r>
  <r>
    <s v="Kvæg"/>
    <m/>
    <s v="1 stk. slagtekalve, 6 mdr. - slagtning (440 kg), tung race."/>
    <x v="6"/>
    <s v="Dybstrøelse, lang ædeplads med fast gulv"/>
    <x v="0"/>
    <m/>
    <n v="0"/>
    <m/>
    <m/>
    <s v="Dybstrøelse"/>
    <m/>
    <m/>
    <n v="0"/>
    <n v="1.91"/>
    <n v="0.3"/>
    <n v="18"/>
    <n v="181"/>
    <n v="544.49733164383565"/>
    <n v="22.606027397260277"/>
    <n v="3"/>
    <n v="0.18"/>
    <n v="2.0517799530106853"/>
    <n v="0"/>
  </r>
  <r>
    <s v="Kvæg"/>
    <n v="1205"/>
    <s v="1 stk. slagtekalve, 6 mdr. - slagtning (440 kg), tung race."/>
    <x v="6"/>
    <s v="Dybstrøelse, lang ædeplads med spalter (kanal, bag"/>
    <x v="0"/>
    <n v="120507"/>
    <n v="121712"/>
    <n v="0"/>
    <s v="Kvæggylle"/>
    <m/>
    <n v="1.36"/>
    <n v="8.8999999999999996E-2"/>
    <n v="0"/>
    <m/>
    <m/>
    <n v="18"/>
    <n v="181"/>
    <n v="92.056723287671218"/>
    <n v="4.7752767123287665"/>
    <n v="12.5"/>
    <n v="0.18"/>
    <n v="1.4597423999999997"/>
    <n v="0"/>
  </r>
  <r>
    <s v="Kvæg"/>
    <m/>
    <s v="1 stk. slagtekalve, 6 mdr. - slagtning (440 kg), tung race."/>
    <x v="6"/>
    <s v="Dybstrøelse, lang ædeplads med spalter (kanal, bag"/>
    <x v="0"/>
    <m/>
    <n v="0"/>
    <m/>
    <m/>
    <s v="Dybstrøelse"/>
    <m/>
    <m/>
    <n v="0"/>
    <n v="1.91"/>
    <n v="0.3"/>
    <n v="18"/>
    <n v="181"/>
    <n v="544.49733164383565"/>
    <n v="22.606027397260277"/>
    <n v="17"/>
    <n v="0.18"/>
    <n v="11.626753067060548"/>
    <n v="0"/>
  </r>
  <r>
    <s v="Kvæg"/>
    <n v="1205"/>
    <s v="1 stk. slagtekalve, 6 mdr. - slagtning (440 kg), tung race."/>
    <x v="6"/>
    <s v="Dybstrøelse, lang ædeplads med spalter (kanal, lin"/>
    <x v="0"/>
    <n v="120506"/>
    <n v="121711"/>
    <n v="0"/>
    <s v="Kvæggylle"/>
    <m/>
    <n v="1.36"/>
    <n v="8.8999999999999996E-2"/>
    <n v="0"/>
    <m/>
    <m/>
    <n v="18"/>
    <n v="181"/>
    <n v="92.056723287671218"/>
    <n v="4.7752767123287665"/>
    <n v="12.5"/>
    <n v="0.18"/>
    <n v="1.4597423999999997"/>
    <n v="0"/>
  </r>
  <r>
    <s v="Kvæg"/>
    <m/>
    <s v="1 stk. slagtekalve, 6 mdr. - slagtning (440 kg), tung race."/>
    <x v="6"/>
    <s v="Dybstrøelse, lang ædeplads med spalter (kanal, lin"/>
    <x v="0"/>
    <m/>
    <n v="0"/>
    <m/>
    <m/>
    <s v="Dybstrøelse"/>
    <m/>
    <m/>
    <n v="0"/>
    <n v="1.91"/>
    <n v="0.3"/>
    <n v="18"/>
    <n v="181"/>
    <n v="544.49733164383565"/>
    <n v="22.606027397260277"/>
    <n v="17"/>
    <n v="0.18"/>
    <n v="11.626753067060548"/>
    <n v="0"/>
  </r>
  <r>
    <s v="Kvæg"/>
    <n v="1205"/>
    <s v="1 stk. slagtekalve, 6 mdr. - slagtning (440 kg), tung race."/>
    <x v="6"/>
    <s v="Sengestald med fast gulv"/>
    <x v="5"/>
    <n v="120510"/>
    <n v="121715"/>
    <n v="0"/>
    <s v="Kvæggylle"/>
    <m/>
    <n v="2.85"/>
    <n v="0.123"/>
    <n v="0"/>
    <m/>
    <m/>
    <n v="18"/>
    <n v="181"/>
    <n v="266.6100821917808"/>
    <n v="13.829917808219179"/>
    <n v="12.5"/>
    <n v="0.18"/>
    <n v="4.2276329999999991"/>
    <n v="0"/>
  </r>
  <r>
    <s v="Kvæg"/>
    <n v="1205"/>
    <s v="1 stk. slagtekalve, 6 mdr. - slagtning (440 kg), tung race."/>
    <x v="6"/>
    <s v="Sengestald med spalter (kanal, bagskyl eller ringk"/>
    <x v="5"/>
    <n v="120512"/>
    <n v="121717"/>
    <n v="0"/>
    <s v="Kvæggylle"/>
    <m/>
    <n v="2.85"/>
    <n v="0.123"/>
    <n v="0"/>
    <m/>
    <m/>
    <n v="18"/>
    <n v="181"/>
    <n v="266.6100821917808"/>
    <n v="13.829917808219179"/>
    <n v="12.5"/>
    <n v="0.18"/>
    <n v="4.2276329999999991"/>
    <n v="0"/>
  </r>
  <r>
    <s v="Kvæg"/>
    <n v="1205"/>
    <s v="1 stk. slagtekalve, 6 mdr. - slagtning (440 kg), tung race."/>
    <x v="6"/>
    <s v="Sengestald med spalter (kanal, linespil)"/>
    <x v="5"/>
    <n v="120511"/>
    <n v="121716"/>
    <n v="0"/>
    <s v="Kvæggylle"/>
    <m/>
    <n v="2.85"/>
    <n v="0.123"/>
    <n v="0"/>
    <m/>
    <m/>
    <n v="18"/>
    <n v="181"/>
    <n v="266.6100821917808"/>
    <n v="13.829917808219179"/>
    <n v="12.5"/>
    <n v="0.18"/>
    <n v="4.2276329999999991"/>
    <n v="0"/>
  </r>
  <r>
    <s v="Kvæg"/>
    <n v="1205"/>
    <s v="1 stk. slagtekalve, 6 mdr. - slagtning (440 kg), tung race."/>
    <x v="6"/>
    <s v="Sengestald, fast drænet gulv med skraber og ajleaf"/>
    <x v="5"/>
    <n v="120519"/>
    <n v="121724"/>
    <n v="0"/>
    <s v="Kvæggylle"/>
    <m/>
    <n v="2.85"/>
    <n v="0.123"/>
    <n v="0"/>
    <m/>
    <m/>
    <n v="18"/>
    <n v="181"/>
    <n v="266.6100821917808"/>
    <n v="13.829917808219179"/>
    <n v="12.5"/>
    <n v="0.18"/>
    <n v="4.2276329999999991"/>
    <n v="0"/>
  </r>
  <r>
    <s v="Kvæg"/>
    <n v="1205"/>
    <s v="1 stk. slagtekalve, 6 mdr. - slagtning (440 kg), tung race."/>
    <x v="6"/>
    <s v="Spaltegulvbokse"/>
    <x v="6"/>
    <n v="120509"/>
    <n v="121714"/>
    <n v="0"/>
    <s v="Kvæggylle"/>
    <m/>
    <n v="3"/>
    <n v="0.10100000000000001"/>
    <n v="0"/>
    <m/>
    <m/>
    <n v="18"/>
    <n v="181"/>
    <n v="230.44602739726034"/>
    <n v="11.953972602739729"/>
    <n v="12.5"/>
    <n v="0.18"/>
    <n v="3.6541800000000015"/>
    <n v="0"/>
  </r>
  <r>
    <s v="Kvæg"/>
    <n v="1242"/>
    <s v="1 årsammeko uden opdræt (400-600 kg)"/>
    <x v="7"/>
    <s v="Bindestald med grebning"/>
    <x v="4"/>
    <n v="124201"/>
    <n v="125443"/>
    <n v="7.97"/>
    <s v="Fast gødning"/>
    <m/>
    <n v="3.72"/>
    <n v="0.22800000000000001"/>
    <n v="29.648400000000002"/>
    <m/>
    <m/>
    <n v="132"/>
    <n v="181"/>
    <n v="433.14253150684931"/>
    <n v="245.38546849315071"/>
    <n v="2"/>
    <n v="0.18"/>
    <n v="1.6366095360000004"/>
    <n v="1.3043778001920003E-2"/>
  </r>
  <r>
    <s v="Kvæg"/>
    <m/>
    <s v="1 årsammeko uden opdræt (400-600 kg)"/>
    <x v="7"/>
    <s v="Bindestald med grebning"/>
    <x v="4"/>
    <m/>
    <n v="0"/>
    <m/>
    <s v="Ajle"/>
    <m/>
    <n v="4.17"/>
    <n v="3.7999999999999999E-2"/>
    <n v="0"/>
    <m/>
    <m/>
    <n v="132"/>
    <n v="181"/>
    <n v="80.923134246575344"/>
    <n v="45.844865753424664"/>
    <n v="12.5"/>
    <n v="0.18"/>
    <n v="1.9110276000000002"/>
    <n v="1.5230889972000001E-2"/>
  </r>
  <r>
    <s v="Kvæg"/>
    <n v="1242"/>
    <s v="1 årsammeko uden opdræt (400-600 kg)"/>
    <x v="7"/>
    <s v="Bindestald med riste"/>
    <x v="4"/>
    <n v="124202"/>
    <n v="125444"/>
    <n v="0"/>
    <s v="Kvæggylle"/>
    <m/>
    <n v="7.88"/>
    <n v="0.121"/>
    <n v="0"/>
    <m/>
    <m/>
    <n v="132"/>
    <n v="181"/>
    <n v="486.92786849315075"/>
    <n v="275.85613150684935"/>
    <n v="12.5"/>
    <n v="0.18"/>
    <n v="11.498968800000002"/>
    <n v="0"/>
  </r>
  <r>
    <s v="Kvæg"/>
    <n v="1242"/>
    <s v="1 årsammeko uden opdræt (400-600 kg)"/>
    <x v="7"/>
    <s v="Dybstrøelse, hele arealet"/>
    <x v="0"/>
    <n v="124203"/>
    <n v="125445"/>
    <n v="235.84"/>
    <m/>
    <s v="Dybstrøelse"/>
    <m/>
    <m/>
    <n v="0"/>
    <n v="9.59"/>
    <n v="0.3"/>
    <n v="132"/>
    <n v="181"/>
    <n v="1835.7242371232874"/>
    <n v="832.35945205479447"/>
    <n v="17"/>
    <n v="0.18"/>
    <n v="54.701051795529025"/>
    <n v="12.900696055457566"/>
  </r>
  <r>
    <s v="Kvæg"/>
    <n v="1242"/>
    <s v="1 årsammeko uden opdræt (400-600 kg)"/>
    <x v="7"/>
    <s v="Dybstrøelse, kort ædeplads med fast gulv"/>
    <x v="0"/>
    <n v="124204"/>
    <n v="125446"/>
    <n v="0"/>
    <m/>
    <s v="Dybstrøelse"/>
    <m/>
    <m/>
    <n v="0"/>
    <n v="8.83"/>
    <n v="0.3"/>
    <n v="132"/>
    <n v="181"/>
    <n v="1690.2445269863017"/>
    <n v="766.39561643835623"/>
    <n v="17"/>
    <n v="0.18"/>
    <n v="50.366036220492333"/>
    <n v="0"/>
  </r>
  <r>
    <s v="Kvæg"/>
    <n v="1242"/>
    <s v="1 årsammeko uden opdræt (400-600 kg)"/>
    <x v="7"/>
    <s v="Dybstrøelse, lang ædeplads med fast gulv"/>
    <x v="0"/>
    <n v="124205"/>
    <n v="125447"/>
    <n v="0"/>
    <s v="Kvæggylle"/>
    <m/>
    <n v="4.8499999999999996"/>
    <n v="6.9000000000000006E-2"/>
    <n v="0"/>
    <m/>
    <m/>
    <n v="132"/>
    <n v="181"/>
    <n v="170.90071232876716"/>
    <n v="96.8192876712329"/>
    <n v="12.5"/>
    <n v="0.18"/>
    <n v="4.0358790000000004"/>
    <n v="0"/>
  </r>
  <r>
    <s v="Kvæg"/>
    <m/>
    <s v="1 årsammeko uden opdræt (400-600 kg)"/>
    <x v="7"/>
    <s v="Dybstrøelse, lang ædeplads med fast gulv"/>
    <x v="0"/>
    <m/>
    <n v="0"/>
    <m/>
    <m/>
    <s v="Dybstrøelse"/>
    <m/>
    <m/>
    <n v="0"/>
    <n v="6.67"/>
    <n v="0.3"/>
    <n v="132"/>
    <n v="181"/>
    <n v="1276.7758771232877"/>
    <n v="578.91945205479453"/>
    <n v="17"/>
    <n v="0.18"/>
    <n v="38.045465638809048"/>
    <n v="0"/>
  </r>
  <r>
    <s v="Kvæg"/>
    <n v="1242"/>
    <s v="1 årsammeko uden opdræt (400-600 kg)"/>
    <x v="7"/>
    <s v="Dybstrøelse, lang ædeplads med spalter (kanal, bag"/>
    <x v="0"/>
    <n v="124207"/>
    <n v="125449"/>
    <n v="0"/>
    <s v="Kvæggylle"/>
    <m/>
    <n v="4.8499999999999996"/>
    <n v="6.9000000000000006E-2"/>
    <n v="0"/>
    <m/>
    <m/>
    <n v="132"/>
    <n v="181"/>
    <n v="170.90071232876716"/>
    <n v="96.8192876712329"/>
    <n v="12.5"/>
    <n v="0.18"/>
    <n v="4.0358790000000004"/>
    <n v="0"/>
  </r>
  <r>
    <s v="Kvæg"/>
    <m/>
    <s v="1 årsammeko uden opdræt (400-600 kg)"/>
    <x v="7"/>
    <s v="Dybstrøelse, lang ædeplads med spalter (kanal, bag"/>
    <x v="0"/>
    <m/>
    <n v="0"/>
    <m/>
    <m/>
    <s v="Dybstrøelse"/>
    <m/>
    <m/>
    <n v="0"/>
    <n v="6.67"/>
    <n v="0.3"/>
    <n v="132"/>
    <n v="181"/>
    <n v="1276.7758771232877"/>
    <n v="578.91945205479453"/>
    <n v="17"/>
    <n v="0.18"/>
    <n v="38.045465638809048"/>
    <n v="0"/>
  </r>
  <r>
    <s v="Kvæg"/>
    <n v="1242"/>
    <s v="1 årsammeko uden opdræt (400-600 kg)"/>
    <x v="7"/>
    <s v="Dybstrøelse, lang ædeplads med spalter (kanal, lin"/>
    <x v="0"/>
    <n v="124206"/>
    <n v="125448"/>
    <n v="0"/>
    <s v="Kvæggylle"/>
    <m/>
    <n v="4.8499999999999996"/>
    <n v="6.9000000000000006E-2"/>
    <n v="0"/>
    <m/>
    <m/>
    <n v="132"/>
    <n v="181"/>
    <n v="170.90071232876716"/>
    <n v="96.8192876712329"/>
    <n v="12.5"/>
    <n v="0.18"/>
    <n v="4.0358790000000004"/>
    <n v="0"/>
  </r>
  <r>
    <s v="Kvæg"/>
    <m/>
    <s v="1 årsammeko uden opdræt (400-600 kg)"/>
    <x v="7"/>
    <s v="Dybstrøelse, lang ædeplads med spalter (kanal, lin"/>
    <x v="0"/>
    <m/>
    <n v="0"/>
    <m/>
    <m/>
    <s v="Dybstrøelse"/>
    <m/>
    <m/>
    <n v="0"/>
    <n v="6.67"/>
    <n v="0.3"/>
    <n v="132"/>
    <n v="181"/>
    <n v="1276.7758771232877"/>
    <n v="578.91945205479453"/>
    <n v="17"/>
    <n v="0.18"/>
    <n v="38.045465638809048"/>
    <n v="0"/>
  </r>
  <r>
    <s v="Kvæg"/>
    <n v="1242"/>
    <s v="1 årsammeko uden opdræt (400-600 kg)"/>
    <x v="7"/>
    <s v="Sengestald med spaltegulv (kanal, bagskyl el. ring"/>
    <x v="5"/>
    <n v="124210"/>
    <n v="125452"/>
    <n v="0"/>
    <s v="Kvæggylle"/>
    <m/>
    <n v="7.28"/>
    <n v="0.121"/>
    <n v="0"/>
    <m/>
    <m/>
    <n v="132"/>
    <m/>
    <n v="449.85214246575345"/>
    <n v="254.85185753424659"/>
    <n v="12.5"/>
    <n v="0.18"/>
    <n v="10.623412800000001"/>
    <n v="0"/>
  </r>
  <r>
    <s v="Kvæg"/>
    <n v="1242"/>
    <s v="1 årsammeko uden opdræt (400-600 kg)"/>
    <x v="7"/>
    <s v="Sengestald med spaltegulv (kanal, linespil)"/>
    <x v="5"/>
    <n v="124209"/>
    <n v="125451"/>
    <n v="0"/>
    <s v="Kvæggylle"/>
    <m/>
    <n v="7.28"/>
    <n v="0.121"/>
    <n v="0"/>
    <m/>
    <m/>
    <n v="132"/>
    <n v="181"/>
    <n v="449.85214246575345"/>
    <n v="254.85185753424659"/>
    <n v="12.5"/>
    <n v="0.18"/>
    <n v="10.623412800000001"/>
    <n v="0"/>
  </r>
  <r>
    <s v="Kvæg"/>
    <n v="1242"/>
    <s v="1 årsammeko uden opdræt (400-600 kg)"/>
    <x v="7"/>
    <s v="Sengestald, fast drænet gulv med skraber og ajleaf"/>
    <x v="5"/>
    <n v="124211"/>
    <n v="125453"/>
    <n v="100"/>
    <s v="Kvæggylle"/>
    <m/>
    <n v="7.28"/>
    <n v="0.121"/>
    <n v="728"/>
    <m/>
    <m/>
    <n v="132"/>
    <n v="181"/>
    <n v="449.85214246575345"/>
    <n v="254.85185753424659"/>
    <n v="12.5"/>
    <n v="0.18"/>
    <n v="10.623412800000001"/>
    <n v="1.0623412800000001"/>
  </r>
  <r>
    <s v="Kvæg"/>
    <n v="1243"/>
    <s v="1 årsammeko uden opdræt (over 600 kg)"/>
    <x v="7"/>
    <s v="Bindestald med grebning"/>
    <x v="4"/>
    <n v="124301"/>
    <n v="125544"/>
    <n v="42.09"/>
    <s v="Fast gødning"/>
    <m/>
    <n v="4.1500000000000004"/>
    <n v="0.22800000000000001"/>
    <n v="174.67350000000002"/>
    <m/>
    <m/>
    <n v="132"/>
    <n v="181"/>
    <n v="483.21008219178088"/>
    <n v="273.74991780821921"/>
    <n v="2"/>
    <n v="0.18"/>
    <n v="1.8257875200000004"/>
    <n v="7.684739671680002E-2"/>
  </r>
  <r>
    <s v="Kvæg"/>
    <m/>
    <s v="1 årsammeko uden opdræt (over 600 kg)"/>
    <x v="7"/>
    <s v="Bindestald med grebning"/>
    <x v="4"/>
    <m/>
    <n v="0"/>
    <m/>
    <s v="Ajle"/>
    <m/>
    <n v="4.8"/>
    <n v="3.7999999999999999E-2"/>
    <n v="0"/>
    <m/>
    <m/>
    <n v="132"/>
    <n v="181"/>
    <n v="93.148931506849308"/>
    <n v="52.771068493150686"/>
    <n v="12.5"/>
    <n v="0.18"/>
    <n v="2.1997439999999999"/>
    <n v="9.2587224960000006E-2"/>
  </r>
  <r>
    <s v="Kvæg"/>
    <n v="1243"/>
    <s v="1 årsammeko uden opdræt (over 600 kg)"/>
    <x v="7"/>
    <s v="Bindestald med riste"/>
    <x v="4"/>
    <n v="124302"/>
    <n v="125545"/>
    <n v="0"/>
    <s v="Kvæggylle"/>
    <m/>
    <n v="8.81"/>
    <n v="0.121"/>
    <n v="0"/>
    <m/>
    <m/>
    <n v="132"/>
    <n v="181"/>
    <n v="544.3952438356165"/>
    <n v="308.41275616438361"/>
    <n v="12.5"/>
    <n v="0.18"/>
    <n v="12.856080600000002"/>
    <n v="0"/>
  </r>
  <r>
    <s v="Kvæg"/>
    <n v="1243"/>
    <s v="1 årsammeko uden opdræt (over 600 kg)"/>
    <x v="7"/>
    <s v="Dybstrøelse, hele arealet"/>
    <x v="0"/>
    <n v="124303"/>
    <n v="125546"/>
    <n v="240.79"/>
    <m/>
    <s v="Dybstrøelse"/>
    <m/>
    <m/>
    <n v="0"/>
    <n v="6.99"/>
    <n v="0.3"/>
    <n v="132"/>
    <n v="181"/>
    <n v="1338.0304919178081"/>
    <n v="606.69369863013696"/>
    <n v="17"/>
    <n v="0.18"/>
    <n v="39.87073535461397"/>
    <n v="9.6004743660374974"/>
  </r>
  <r>
    <s v="Kvæg"/>
    <n v="1243"/>
    <s v="1 årsammeko uden opdræt (over 600 kg)"/>
    <x v="7"/>
    <s v="Dybstrøelse, kort ædeplads med fast gulv"/>
    <x v="0"/>
    <n v="124304"/>
    <n v="125547"/>
    <n v="0"/>
    <m/>
    <s v="Dybstrøelse"/>
    <m/>
    <m/>
    <n v="0"/>
    <n v="9.3000000000000007"/>
    <n v="0.3"/>
    <n v="132"/>
    <n v="181"/>
    <n v="1780.2122424657532"/>
    <n v="807.18904109589039"/>
    <n v="17"/>
    <n v="0.18"/>
    <n v="53.046901115580816"/>
    <n v="0"/>
  </r>
  <r>
    <s v="Kvæg"/>
    <n v="1243"/>
    <s v="1 årsammeko uden opdræt (over 600 kg)"/>
    <x v="7"/>
    <s v="Dybstrøelse, lang ædeplads med fast gulv"/>
    <x v="0"/>
    <n v="124305"/>
    <n v="125548"/>
    <n v="0"/>
    <s v="Kvæggylle"/>
    <m/>
    <n v="5.5"/>
    <n v="6.9000000000000006E-2"/>
    <n v="0"/>
    <m/>
    <m/>
    <n v="132"/>
    <n v="181"/>
    <n v="193.80493150684936"/>
    <n v="109.79506849315069"/>
    <n v="12.5"/>
    <n v="0.18"/>
    <n v="4.5767700000000016"/>
    <n v="0"/>
  </r>
  <r>
    <s v="Kvæg"/>
    <m/>
    <s v="1 årsammeko uden opdræt (over 600 kg)"/>
    <x v="7"/>
    <s v="Dybstrøelse, lang ædeplads med fast gulv"/>
    <x v="0"/>
    <m/>
    <n v="0"/>
    <m/>
    <m/>
    <s v="Dybstrøelse"/>
    <m/>
    <m/>
    <n v="0"/>
    <n v="6.95"/>
    <n v="0.3"/>
    <n v="132"/>
    <n v="181"/>
    <n v="1330.3736650684932"/>
    <n v="603.22191780821913"/>
    <n v="17"/>
    <n v="0.18"/>
    <n v="39.642576640138358"/>
    <n v="0"/>
  </r>
  <r>
    <s v="Kvæg"/>
    <n v="1243"/>
    <s v="1 årsammeko uden opdræt (over 600 kg)"/>
    <x v="7"/>
    <s v="Dybstrøelse, lang ædeplads med spalter (kanal, bag"/>
    <x v="0"/>
    <n v="124307"/>
    <n v="125550"/>
    <n v="0"/>
    <s v="Kvæggylle"/>
    <m/>
    <n v="5.5"/>
    <n v="6.9000000000000006E-2"/>
    <n v="0"/>
    <m/>
    <m/>
    <n v="132"/>
    <n v="181"/>
    <n v="193.80493150684936"/>
    <n v="109.79506849315069"/>
    <n v="12.5"/>
    <n v="0.18"/>
    <n v="4.5767700000000016"/>
    <n v="0"/>
  </r>
  <r>
    <s v="Kvæg"/>
    <m/>
    <s v="1 årsammeko uden opdræt (over 600 kg)"/>
    <x v="7"/>
    <s v="Dybstrøelse, lang ædeplads med spalter (kanal, bag"/>
    <x v="0"/>
    <m/>
    <n v="0"/>
    <m/>
    <m/>
    <s v="Dybstrøelse"/>
    <m/>
    <m/>
    <n v="0"/>
    <n v="6.95"/>
    <n v="0.3"/>
    <n v="132"/>
    <n v="181"/>
    <n v="1330.3736650684932"/>
    <n v="603.22191780821913"/>
    <n v="17"/>
    <n v="0.18"/>
    <n v="39.642576640138358"/>
    <n v="0"/>
  </r>
  <r>
    <s v="Kvæg"/>
    <n v="1243"/>
    <s v="1 årsammeko uden opdræt (over 600 kg)"/>
    <x v="7"/>
    <s v="Dybstrøelse, lang ædeplads med spalter (kanal, lin"/>
    <x v="0"/>
    <n v="124306"/>
    <n v="125549"/>
    <n v="0"/>
    <s v="Kvæggylle"/>
    <m/>
    <n v="5.5"/>
    <n v="6.9000000000000006E-2"/>
    <n v="0"/>
    <m/>
    <m/>
    <n v="132"/>
    <n v="181"/>
    <n v="193.80493150684936"/>
    <n v="109.79506849315069"/>
    <n v="12.5"/>
    <n v="0.18"/>
    <n v="4.5767700000000016"/>
    <n v="0"/>
  </r>
  <r>
    <s v="Kvæg"/>
    <m/>
    <s v="1 årsammeko uden opdræt (over 600 kg)"/>
    <x v="7"/>
    <s v="Dybstrøelse, lang ædeplads med spalter (kanal, lin"/>
    <x v="0"/>
    <m/>
    <n v="0"/>
    <m/>
    <m/>
    <s v="Dybstrøelse"/>
    <m/>
    <m/>
    <n v="0"/>
    <n v="6.95"/>
    <n v="0.3"/>
    <n v="132"/>
    <n v="181"/>
    <n v="1330.3736650684932"/>
    <n v="603.22191780821913"/>
    <n v="17"/>
    <n v="0.18"/>
    <n v="39.642576640138358"/>
    <n v="0"/>
  </r>
  <r>
    <s v="Kvæg"/>
    <n v="1243"/>
    <s v="1 årsammeko uden opdræt (over 600 kg)"/>
    <x v="7"/>
    <s v="Sengestald med spaltegulv (kanal, bagskyl el. ring"/>
    <x v="5"/>
    <n v="124310"/>
    <n v="125553"/>
    <n v="0"/>
    <s v="Kvæggylle"/>
    <m/>
    <n v="8.1999999999999993"/>
    <n v="0.121"/>
    <n v="0"/>
    <m/>
    <m/>
    <n v="132"/>
    <n v="181"/>
    <n v="506.70158904109599"/>
    <n v="287.05841095890412"/>
    <n v="12.5"/>
    <n v="0.18"/>
    <n v="11.965932000000002"/>
    <n v="0"/>
  </r>
  <r>
    <s v="Kvæg"/>
    <n v="1243"/>
    <s v="1 årsammeko uden opdræt (over 600 kg)"/>
    <x v="7"/>
    <s v="Sengestald med spaltegulv (kanal, linespil)"/>
    <x v="5"/>
    <n v="124309"/>
    <n v="125552"/>
    <n v="0"/>
    <s v="Kvæggylle"/>
    <m/>
    <n v="8.1999999999999993"/>
    <n v="0.121"/>
    <n v="0"/>
    <m/>
    <m/>
    <n v="132"/>
    <n v="181"/>
    <n v="506.70158904109599"/>
    <n v="287.05841095890412"/>
    <n v="12.5"/>
    <n v="0.18"/>
    <n v="11.965932000000002"/>
    <n v="0"/>
  </r>
  <r>
    <s v="Kvæg"/>
    <n v="1243"/>
    <s v="1 årsammeko uden opdræt (over 600 kg)"/>
    <x v="7"/>
    <s v="Sengestald, fast drænet gulv med skaber og ajleafl"/>
    <x v="5"/>
    <n v="124311"/>
    <n v="125554"/>
    <n v="0"/>
    <s v="Kvæggylle"/>
    <m/>
    <n v="8.1999999999999993"/>
    <n v="0.121"/>
    <n v="0"/>
    <m/>
    <m/>
    <n v="132"/>
    <n v="181"/>
    <n v="506.70158904109599"/>
    <n v="287.05841095890412"/>
    <n v="12.5"/>
    <n v="0.18"/>
    <n v="11.965932000000002"/>
    <n v="0"/>
  </r>
  <r>
    <s v="Kvæg"/>
    <n v="1241"/>
    <s v="1 årsammeko uden opdræt (under 400 kg)"/>
    <x v="7"/>
    <s v="Bindestald med grebning"/>
    <x v="4"/>
    <n v="124101"/>
    <n v="125342"/>
    <n v="0"/>
    <s v="Fast gødning"/>
    <m/>
    <n v="2.61"/>
    <n v="0.22800000000000001"/>
    <n v="0"/>
    <m/>
    <m/>
    <n v="132"/>
    <n v="181"/>
    <n v="303.89838904109592"/>
    <n v="172.16561095890413"/>
    <n v="2"/>
    <n v="0.18"/>
    <n v="1.1482663680000003"/>
    <n v="0"/>
  </r>
  <r>
    <s v="Kvæg"/>
    <m/>
    <s v="1 årsammeko uden opdræt (under 400 kg)"/>
    <x v="7"/>
    <s v="Bindestald med grebning"/>
    <x v="4"/>
    <m/>
    <n v="0"/>
    <m/>
    <s v="Fast gødning"/>
    <s v="Ajle"/>
    <m/>
    <m/>
    <n v="0"/>
    <n v="2.86"/>
    <n v="3.7999999999999999E-2"/>
    <n v="132"/>
    <n v="181"/>
    <n v="69.345328498630138"/>
    <n v="31.442761643835617"/>
    <n v="2"/>
    <n v="0.18"/>
    <n v="0.24310087342362741"/>
    <n v="0"/>
  </r>
  <r>
    <s v="Kvæg"/>
    <n v="1241"/>
    <s v="1 årsammeko uden opdræt (under 400 kg)"/>
    <x v="7"/>
    <s v="Bindestald med riste"/>
    <x v="4"/>
    <n v="124102"/>
    <n v="125343"/>
    <n v="0"/>
    <s v="Kvæggylle"/>
    <m/>
    <n v="5.5"/>
    <n v="0.121"/>
    <n v="0"/>
    <m/>
    <m/>
    <n v="132"/>
    <n v="181"/>
    <n v="339.86082191780821"/>
    <n v="192.5391780821918"/>
    <n v="12.5"/>
    <n v="0.18"/>
    <n v="8.0259300000000007"/>
    <n v="0"/>
  </r>
  <r>
    <s v="Kvæg"/>
    <n v="1241"/>
    <s v="1 årsammeko uden opdræt (under 400 kg)"/>
    <x v="7"/>
    <s v="Dybstrøelse, hele arealet"/>
    <x v="0"/>
    <n v="124103"/>
    <n v="125344"/>
    <n v="0"/>
    <m/>
    <s v="Dybstrøelse"/>
    <m/>
    <m/>
    <n v="0"/>
    <n v="6.99"/>
    <n v="0.3"/>
    <n v="132"/>
    <n v="181"/>
    <n v="1338.0304919178081"/>
    <n v="606.69369863013696"/>
    <n v="17"/>
    <n v="0.18"/>
    <n v="39.87073535461397"/>
    <n v="0"/>
  </r>
  <r>
    <s v="Kvæg"/>
    <n v="1241"/>
    <s v="1 årsammeko uden opdræt (under 400 kg)"/>
    <x v="7"/>
    <s v="Dybstrøelse, kort ædeplads med fast gulv"/>
    <x v="0"/>
    <n v="124104"/>
    <n v="125345"/>
    <n v="0"/>
    <m/>
    <s v="Dybstrøelse"/>
    <m/>
    <m/>
    <n v="0"/>
    <n v="6.42"/>
    <n v="0.3"/>
    <n v="132"/>
    <n v="181"/>
    <n v="1228.9207093150687"/>
    <n v="557.22082191780828"/>
    <n v="17"/>
    <n v="0.18"/>
    <n v="36.619473673336444"/>
    <n v="0"/>
  </r>
  <r>
    <s v="Kvæg"/>
    <n v="1241"/>
    <s v="1 årsammeko uden opdræt (under 400 kg)"/>
    <x v="7"/>
    <s v="Dybstrøelse, lang ædeplads med fast gulv"/>
    <x v="0"/>
    <n v="124105"/>
    <n v="125346"/>
    <n v="0"/>
    <s v="Kvæggylle"/>
    <m/>
    <n v="3.35"/>
    <n v="6.9000000000000006E-2"/>
    <n v="0"/>
    <m/>
    <m/>
    <n v="132"/>
    <n v="181"/>
    <n v="118.04482191780824"/>
    <n v="66.875178082191795"/>
    <n v="12.5"/>
    <n v="0.18"/>
    <n v="2.7876690000000002"/>
    <n v="0"/>
  </r>
  <r>
    <s v="Kvæg"/>
    <m/>
    <s v="1 årsammeko uden opdræt (under 400 kg)"/>
    <x v="7"/>
    <s v="Dybstrøelse, lang ædeplads med fast gulv"/>
    <x v="0"/>
    <m/>
    <n v="0"/>
    <m/>
    <m/>
    <s v="Dybstrøelse"/>
    <m/>
    <m/>
    <n v="0"/>
    <n v="4.88"/>
    <n v="0.3"/>
    <n v="132"/>
    <n v="181"/>
    <n v="934.13287561643835"/>
    <n v="423.55726027397259"/>
    <n v="17"/>
    <n v="0.18"/>
    <n v="27.835363166025203"/>
    <n v="0"/>
  </r>
  <r>
    <s v="Kvæg"/>
    <n v="1241"/>
    <s v="1 årsammeko uden opdræt (under 400 kg)"/>
    <x v="7"/>
    <s v="Dybstrøelse, lang ædeplads med spalter (kanal, bag"/>
    <x v="0"/>
    <n v="124107"/>
    <n v="125348"/>
    <n v="0"/>
    <s v="Kvæggylle"/>
    <m/>
    <n v="3.35"/>
    <n v="6.9000000000000006E-2"/>
    <n v="0"/>
    <m/>
    <m/>
    <n v="132"/>
    <n v="181"/>
    <n v="118.04482191780824"/>
    <n v="66.875178082191795"/>
    <n v="12.5"/>
    <n v="0.18"/>
    <n v="2.7876690000000002"/>
    <n v="0"/>
  </r>
  <r>
    <s v="Kvæg"/>
    <m/>
    <s v="1 årsammeko uden opdræt (under 400 kg)"/>
    <x v="7"/>
    <s v="Dybstrøelse, lang ædeplads med spalter (kanal, bag"/>
    <x v="0"/>
    <m/>
    <n v="0"/>
    <m/>
    <m/>
    <s v="Dybstrøelse"/>
    <m/>
    <m/>
    <n v="0"/>
    <n v="4.88"/>
    <n v="0.3"/>
    <n v="132"/>
    <n v="181"/>
    <n v="934.13287561643835"/>
    <n v="423.55726027397259"/>
    <n v="17"/>
    <n v="0.18"/>
    <n v="27.835363166025203"/>
    <n v="0"/>
  </r>
  <r>
    <s v="Kvæg"/>
    <n v="1241"/>
    <s v="1 årsammeko uden opdræt (under 400 kg)"/>
    <x v="7"/>
    <s v="Dybstrøelse, lang ædeplads med spalter (kanal, lin"/>
    <x v="0"/>
    <n v="124106"/>
    <n v="125347"/>
    <n v="0"/>
    <s v="Kvæggylle"/>
    <m/>
    <n v="3.35"/>
    <n v="6.9000000000000006E-2"/>
    <n v="0"/>
    <m/>
    <m/>
    <n v="132"/>
    <n v="181"/>
    <n v="118.04482191780824"/>
    <n v="66.875178082191795"/>
    <n v="12.5"/>
    <n v="0.18"/>
    <n v="2.7876690000000002"/>
    <n v="0"/>
  </r>
  <r>
    <s v="Kvæg"/>
    <m/>
    <s v="1 årsammeko uden opdræt (under 400 kg)"/>
    <x v="7"/>
    <s v="Dybstrøelse, lang ædeplads med spalter (kanal, lin"/>
    <x v="0"/>
    <m/>
    <n v="0"/>
    <m/>
    <m/>
    <s v="Dybstrøelse"/>
    <m/>
    <m/>
    <n v="0"/>
    <n v="4.88"/>
    <n v="0.3"/>
    <n v="132"/>
    <n v="181"/>
    <n v="934.13287561643835"/>
    <n v="423.55726027397259"/>
    <n v="17"/>
    <n v="0.18"/>
    <n v="27.835363166025203"/>
    <n v="0"/>
  </r>
  <r>
    <s v="Kvæg"/>
    <n v="1241"/>
    <s v="1 årsammeko uden opdræt (under 400 kg)"/>
    <x v="7"/>
    <s v="Sengestald med spaltegulv (kanal, bagskyl el. ring"/>
    <x v="5"/>
    <n v="124110"/>
    <n v="125351"/>
    <n v="0"/>
    <s v="Kvæggylle"/>
    <m/>
    <n v="5.0199999999999996"/>
    <n v="0.121"/>
    <n v="0"/>
    <m/>
    <m/>
    <n v="132"/>
    <n v="181"/>
    <n v="310.20024109589042"/>
    <n v="175.73575890410959"/>
    <n v="12.5"/>
    <n v="0.18"/>
    <n v="7.3254852000000001"/>
    <n v="0"/>
  </r>
  <r>
    <s v="Kvæg"/>
    <n v="1231"/>
    <s v="1 årsko uden opdræt, malkekvæg, Jersey"/>
    <x v="8"/>
    <s v="Bindestald med grebning"/>
    <x v="4"/>
    <n v="123101"/>
    <n v="124332"/>
    <n v="0"/>
    <s v="Fast gødning"/>
    <m/>
    <n v="9.84"/>
    <n v="0.2"/>
    <n v="0"/>
    <m/>
    <m/>
    <n v="18"/>
    <n v="181"/>
    <n v="1496.7583561643839"/>
    <n v="77.641643835616463"/>
    <n v="2"/>
    <n v="0.24"/>
    <n v="5.0632704000000013"/>
    <n v="0"/>
  </r>
  <r>
    <s v="Kvæg"/>
    <m/>
    <s v="1 årsko uden opdræt, malkekvæg, Jersey"/>
    <x v="8"/>
    <s v="Bindestald med grebning"/>
    <x v="4"/>
    <m/>
    <n v="0"/>
    <m/>
    <s v="Ajle"/>
    <m/>
    <n v="12.84"/>
    <n v="3.4000000000000002E-2"/>
    <n v="0"/>
    <m/>
    <m/>
    <n v="18"/>
    <n v="181"/>
    <n v="332.0248109589042"/>
    <n v="17.223189041095896"/>
    <n v="12.5"/>
    <n v="0.24"/>
    <n v="7.0198848000000025"/>
    <n v="0"/>
  </r>
  <r>
    <s v="Kvæg"/>
    <n v="1231"/>
    <s v="1 årsko uden opdræt, malkekvæg, Jersey"/>
    <x v="8"/>
    <s v="Bindestald med riste"/>
    <x v="4"/>
    <n v="123102"/>
    <n v="124333"/>
    <n v="0"/>
    <s v="Kvæggylle"/>
    <m/>
    <n v="26.12"/>
    <n v="8.6999999999999994E-2"/>
    <n v="0"/>
    <m/>
    <m/>
    <n v="18"/>
    <n v="181"/>
    <n v="1728.2995726027395"/>
    <n v="89.652427397260254"/>
    <n v="12.5"/>
    <n v="0.24"/>
    <n v="36.540835199999997"/>
    <n v="0"/>
  </r>
  <r>
    <s v="Kvæg"/>
    <n v="1231"/>
    <s v="1 årsko uden opdræt, malkekvæg, Jersey"/>
    <x v="8"/>
    <s v="Dybstrøelse (hele arealet)"/>
    <x v="0"/>
    <n v="123106"/>
    <n v="124337"/>
    <n v="0"/>
    <m/>
    <s v="Dybstrøelse"/>
    <m/>
    <m/>
    <n v="0"/>
    <n v="13.39"/>
    <n v="0.3"/>
    <n v="132"/>
    <n v="181"/>
    <n v="2563.1227878082195"/>
    <n v="1162.1786301369864"/>
    <n v="17"/>
    <n v="0.24"/>
    <n v="101.83483956095016"/>
    <n v="0"/>
  </r>
  <r>
    <s v="Kvæg"/>
    <n v="1231"/>
    <s v="1 årsko uden opdræt, malkekvæg, Jersey"/>
    <x v="8"/>
    <s v="Dybstrøelse, lang ædeplads med fast gulv"/>
    <x v="0"/>
    <n v="123107"/>
    <n v="124338"/>
    <n v="0"/>
    <s v="Kvæggylle"/>
    <m/>
    <n v="11.46"/>
    <n v="6.9000000000000006E-2"/>
    <n v="0"/>
    <m/>
    <m/>
    <n v="18"/>
    <n v="181"/>
    <n v="601.39568219178091"/>
    <n v="31.196317808219185"/>
    <n v="12.5"/>
    <n v="0.24"/>
    <n v="12.715099200000001"/>
    <n v="0"/>
  </r>
  <r>
    <s v="Kvæg"/>
    <m/>
    <s v="1 årsko uden opdræt, malkekvæg, Jersey"/>
    <x v="8"/>
    <s v="Dybstrøelse, lang ædeplads med fast gulv"/>
    <x v="0"/>
    <m/>
    <n v="0"/>
    <m/>
    <m/>
    <s v="Dybstrøelse"/>
    <m/>
    <m/>
    <n v="0"/>
    <n v="10.220000000000001"/>
    <n v="0.28699999999999998"/>
    <n v="18"/>
    <n v="181"/>
    <n v="2787.2371785999999"/>
    <n v="115.7184"/>
    <n v="17"/>
    <n v="0.24"/>
    <n v="79.355193696609604"/>
    <n v="0"/>
  </r>
  <r>
    <s v="Kvæg"/>
    <n v="1231"/>
    <s v="1 årsko uden opdræt, malkekvæg, Jersey"/>
    <x v="8"/>
    <s v="Dybstrøelse, lang ædeplads med spalter (kanal, bag"/>
    <x v="0"/>
    <n v="123109"/>
    <n v="124340"/>
    <n v="0"/>
    <s v="Kvæggylle"/>
    <m/>
    <n v="11.46"/>
    <n v="6.9000000000000006E-2"/>
    <n v="0"/>
    <m/>
    <m/>
    <n v="18"/>
    <n v="181"/>
    <n v="601.39568219178091"/>
    <n v="31.196317808219185"/>
    <n v="12.5"/>
    <n v="0.24"/>
    <n v="12.715099200000001"/>
    <n v="0"/>
  </r>
  <r>
    <s v="Kvæg"/>
    <m/>
    <s v="1 årsko uden opdræt, malkekvæg, Jersey"/>
    <x v="8"/>
    <s v="Dybstrøelse, lang ædeplads med spalter (kanal, bag"/>
    <x v="0"/>
    <m/>
    <n v="0"/>
    <m/>
    <m/>
    <s v="Dybstrøelse"/>
    <m/>
    <m/>
    <n v="0"/>
    <n v="10.220000000000001"/>
    <n v="0.28699999999999998"/>
    <n v="18"/>
    <n v="181"/>
    <n v="2787.2371785999999"/>
    <n v="115.7184"/>
    <n v="17"/>
    <n v="0.24"/>
    <n v="79.355193696609604"/>
    <n v="0"/>
  </r>
  <r>
    <s v="Kvæg"/>
    <n v="1231"/>
    <s v="1 årsko uden opdræt, malkekvæg, Jersey"/>
    <x v="8"/>
    <s v="Dybstrøelse, lang ædeplads med spalter (kanal, lin"/>
    <x v="0"/>
    <n v="123108"/>
    <n v="124339"/>
    <n v="0"/>
    <s v="Kvæggylle"/>
    <m/>
    <n v="11.46"/>
    <n v="6.9000000000000006E-2"/>
    <n v="0"/>
    <m/>
    <m/>
    <n v="18"/>
    <n v="181"/>
    <n v="601.39568219178091"/>
    <n v="31.196317808219185"/>
    <n v="12.5"/>
    <n v="0.24"/>
    <n v="12.715099200000001"/>
    <n v="0"/>
  </r>
  <r>
    <s v="Kvæg"/>
    <m/>
    <s v="1 årsko uden opdræt, malkekvæg, Jersey"/>
    <x v="8"/>
    <s v="Dybstrøelse, lang ædeplads med spalter (kanal, lin"/>
    <x v="0"/>
    <m/>
    <n v="0"/>
    <m/>
    <m/>
    <s v="Dybstrøelse"/>
    <m/>
    <m/>
    <n v="0"/>
    <n v="10.220000000000001"/>
    <n v="0.28699999999999998"/>
    <n v="18"/>
    <n v="181"/>
    <n v="2787.2371785999999"/>
    <n v="115.7184"/>
    <n v="17"/>
    <n v="0.24"/>
    <n v="79.355193696609604"/>
    <n v="0"/>
  </r>
  <r>
    <s v="Kvæg"/>
    <n v="1231"/>
    <s v="1 årsko uden opdræt, malkekvæg, Jersey"/>
    <x v="8"/>
    <s v="Sengestald med fast gulv"/>
    <x v="5"/>
    <n v="123103"/>
    <n v="124334"/>
    <n v="0"/>
    <s v="Kvæggylle"/>
    <m/>
    <n v="25.95"/>
    <n v="0.08"/>
    <n v="0"/>
    <m/>
    <m/>
    <n v="18"/>
    <n v="181"/>
    <n v="1578.8975342465756"/>
    <n v="81.902465753424664"/>
    <n v="12.5"/>
    <n v="0.24"/>
    <n v="33.382080000000002"/>
    <n v="0"/>
  </r>
  <r>
    <s v="Kvæg"/>
    <n v="1231"/>
    <s v="1 årsko uden opdræt, malkekvæg, Jersey"/>
    <x v="8"/>
    <s v="Sengestald med spalter (kanal, bagskyl eller ringk"/>
    <x v="5"/>
    <n v="123105"/>
    <n v="124336"/>
    <n v="0"/>
    <s v="Kvæggylle"/>
    <m/>
    <n v="25.95"/>
    <n v="0.08"/>
    <n v="0"/>
    <m/>
    <m/>
    <n v="18"/>
    <n v="181"/>
    <n v="1578.8975342465756"/>
    <n v="81.902465753424664"/>
    <n v="12.5"/>
    <n v="0.24"/>
    <n v="33.382080000000002"/>
    <n v="0"/>
  </r>
  <r>
    <s v="Kvæg"/>
    <n v="1231"/>
    <s v="1 årsko uden opdræt, malkekvæg, Jersey"/>
    <x v="8"/>
    <s v="Sengestald med spalter (kanal, linespil)"/>
    <x v="5"/>
    <n v="123104"/>
    <n v="124335"/>
    <n v="0"/>
    <s v="Kvæggylle"/>
    <m/>
    <n v="25.95"/>
    <n v="0.08"/>
    <n v="0"/>
    <m/>
    <m/>
    <n v="18"/>
    <n v="181"/>
    <n v="1578.8975342465756"/>
    <n v="81.902465753424664"/>
    <n v="12.5"/>
    <n v="0.24"/>
    <n v="33.382080000000002"/>
    <n v="0"/>
  </r>
  <r>
    <s v="Kvæg"/>
    <n v="1231"/>
    <s v="1 årsko uden opdræt, malkekvæg, Jersey"/>
    <x v="8"/>
    <s v="Sengestald, fast drænet gulv med skraber og ajleaf"/>
    <x v="5"/>
    <n v="123114"/>
    <n v="124345"/>
    <n v="0"/>
    <s v="Kvæggylle"/>
    <m/>
    <n v="25.62"/>
    <n v="0.08"/>
    <n v="0"/>
    <m/>
    <m/>
    <n v="18"/>
    <n v="181"/>
    <n v="1558.8190684931506"/>
    <n v="80.860931506849312"/>
    <n v="12.5"/>
    <n v="0.24"/>
    <n v="32.957567999999995"/>
    <n v="0"/>
  </r>
  <r>
    <s v="Kvæg"/>
    <n v="1201"/>
    <s v="1 årsko uden opdræt, malkekvæg, tung race"/>
    <x v="8"/>
    <s v="Bindestald med grebning"/>
    <x v="4"/>
    <n v="120101"/>
    <n v="121302"/>
    <n v="0"/>
    <s v="Fast gødning"/>
    <m/>
    <n v="11.94"/>
    <n v="0.2"/>
    <n v="0"/>
    <m/>
    <m/>
    <n v="18"/>
    <n v="181"/>
    <n v="1816.1884931506852"/>
    <n v="94.211506849315072"/>
    <n v="2"/>
    <n v="0.24"/>
    <n v="6.1438464000000002"/>
    <n v="0"/>
  </r>
  <r>
    <s v="Kvæg"/>
    <m/>
    <s v="1 årsko uden opdræt, malkekvæg, tung race"/>
    <x v="8"/>
    <s v="Bindestald med grebning"/>
    <x v="4"/>
    <m/>
    <n v="0"/>
    <m/>
    <s v="Ajle"/>
    <m/>
    <n v="15.64"/>
    <n v="3.4000000000000002E-2"/>
    <n v="0"/>
    <m/>
    <m/>
    <n v="18"/>
    <n v="181"/>
    <n v="404.42897534246578"/>
    <n v="20.979024657534247"/>
    <n v="12.5"/>
    <n v="0.24"/>
    <n v="8.5507008000000013"/>
    <n v="0"/>
  </r>
  <r>
    <s v="Kvæg"/>
    <n v="1201"/>
    <s v="1 årsko uden opdræt, malkekvæg, tung race"/>
    <x v="8"/>
    <s v="Bindestald med riste"/>
    <x v="4"/>
    <n v="120102"/>
    <n v="121303"/>
    <n v="0"/>
    <s v="Kvæggylle"/>
    <m/>
    <n v="31.71"/>
    <n v="8.6999999999999994E-2"/>
    <n v="0"/>
    <m/>
    <m/>
    <n v="18"/>
    <n v="181"/>
    <n v="2098.1768547945208"/>
    <n v="108.83914520547947"/>
    <n v="12.5"/>
    <n v="0.24"/>
    <n v="44.361021600000001"/>
    <n v="0"/>
  </r>
  <r>
    <s v="Kvæg"/>
    <n v="1201"/>
    <s v="1 årsko uden opdræt, malkekvæg, tung race"/>
    <x v="8"/>
    <s v="Dybstrøelse (hele arealet)"/>
    <x v="0"/>
    <n v="120106"/>
    <n v="121307"/>
    <n v="0"/>
    <m/>
    <s v="Dybstrøelse"/>
    <m/>
    <m/>
    <n v="0"/>
    <n v="16.14"/>
    <n v="0.28699999999999998"/>
    <n v="18"/>
    <n v="181"/>
    <n v="4401.7620413506847"/>
    <n v="182.74901917808219"/>
    <n v="17"/>
    <n v="0.24"/>
    <n v="125.32219435061438"/>
    <n v="0"/>
  </r>
  <r>
    <s v="Kvæg"/>
    <n v="1201"/>
    <s v="1 årsko uden opdræt, malkekvæg, tung race"/>
    <x v="8"/>
    <s v="Dybstrøelse, lang ædeplads med fast gulv"/>
    <x v="0"/>
    <n v="120107"/>
    <n v="121308"/>
    <n v="0"/>
    <s v="Kvæggylle"/>
    <m/>
    <n v="13.94"/>
    <n v="6.9000000000000006E-2"/>
    <n v="0"/>
    <m/>
    <m/>
    <n v="18"/>
    <n v="181"/>
    <n v="731.54064657534263"/>
    <n v="37.947353424657543"/>
    <n v="12.5"/>
    <n v="0.24"/>
    <n v="15.466708800000005"/>
    <n v="0"/>
  </r>
  <r>
    <s v="Kvæg"/>
    <m/>
    <s v="1 årsko uden opdræt, malkekvæg, tung race"/>
    <x v="8"/>
    <s v="Dybstrøelse, lang ædeplads med fast gulv"/>
    <x v="0"/>
    <m/>
    <n v="0"/>
    <m/>
    <m/>
    <s v="Dybstrøelse"/>
    <m/>
    <m/>
    <n v="0"/>
    <n v="12.67"/>
    <n v="0.28699999999999998"/>
    <n v="18"/>
    <n v="181"/>
    <n v="3455.4104748397262"/>
    <n v="143.45911232876713"/>
    <n v="17"/>
    <n v="0.24"/>
    <n v="98.378699034837936"/>
    <n v="0"/>
  </r>
  <r>
    <s v="Kvæg"/>
    <n v="1201"/>
    <s v="1 årsko uden opdræt, malkekvæg, tung race"/>
    <x v="8"/>
    <s v="Dybstrøelse, lang ædeplads med spalter (kanal, bag"/>
    <x v="0"/>
    <n v="120109"/>
    <n v="121310"/>
    <n v="0"/>
    <s v="Kvæggylle"/>
    <m/>
    <n v="13.94"/>
    <n v="6.9000000000000006E-2"/>
    <n v="0"/>
    <m/>
    <m/>
    <n v="18"/>
    <n v="181"/>
    <n v="731.54064657534263"/>
    <n v="37.947353424657543"/>
    <n v="12.5"/>
    <n v="0.24"/>
    <n v="15.466708800000005"/>
    <n v="0"/>
  </r>
  <r>
    <s v="Kvæg"/>
    <m/>
    <s v="1 årsko uden opdræt, malkekvæg, tung race"/>
    <x v="8"/>
    <s v="Dybstrøelse, lang ædeplads med spalter (kanal, bag"/>
    <x v="0"/>
    <m/>
    <n v="0"/>
    <m/>
    <m/>
    <s v="Dybstrøelse"/>
    <m/>
    <m/>
    <n v="0"/>
    <n v="12.67"/>
    <n v="0.28699999999999998"/>
    <n v="18"/>
    <n v="181"/>
    <n v="3455.4104748397262"/>
    <n v="143.45911232876713"/>
    <n v="17"/>
    <n v="0.24"/>
    <n v="98.378699034837936"/>
    <n v="0"/>
  </r>
  <r>
    <s v="Kvæg"/>
    <n v="1201"/>
    <s v="1 årsko uden opdræt, malkekvæg, tung race"/>
    <x v="8"/>
    <s v="Dybstrøelse, lang ædeplads med spalter (kanal, lin"/>
    <x v="0"/>
    <n v="120108"/>
    <n v="121309"/>
    <n v="0"/>
    <s v="Kvæggylle"/>
    <m/>
    <n v="13.94"/>
    <n v="6.9000000000000006E-2"/>
    <n v="0"/>
    <m/>
    <m/>
    <n v="18"/>
    <n v="181"/>
    <n v="731.54064657534263"/>
    <n v="37.947353424657543"/>
    <n v="12.5"/>
    <n v="0.24"/>
    <n v="15.466708800000005"/>
    <n v="0"/>
  </r>
  <r>
    <s v="Kvæg"/>
    <m/>
    <s v="1 årsko uden opdræt, malkekvæg, tung race"/>
    <x v="8"/>
    <s v="Dybstrøelse, lang ædeplads med spalter (kanal, lin"/>
    <x v="0"/>
    <m/>
    <n v="0"/>
    <m/>
    <m/>
    <s v="Dybstrøelse"/>
    <m/>
    <m/>
    <n v="0"/>
    <n v="12.67"/>
    <n v="0.28699999999999998"/>
    <n v="18"/>
    <n v="181"/>
    <n v="3455.4104748397262"/>
    <n v="143.45911232876713"/>
    <n v="17"/>
    <n v="0.24"/>
    <n v="98.378699034837936"/>
    <n v="0"/>
  </r>
  <r>
    <s v="Kvæg"/>
    <n v="1201"/>
    <s v="1 årsko uden opdræt, malkekvæg, tung race"/>
    <x v="8"/>
    <s v="Dybstrøelse, lang ædeplads, fast drænet gulv med s"/>
    <x v="0"/>
    <n v="120115"/>
    <n v="121316"/>
    <n v="0"/>
    <s v="Kvæggylle"/>
    <m/>
    <n v="13.83"/>
    <n v="6.9000000000000006E-2"/>
    <n v="0"/>
    <m/>
    <m/>
    <n v="18"/>
    <n v="181"/>
    <n v="725.76808767123305"/>
    <n v="37.647912328767134"/>
    <n v="4.5999999999999996"/>
    <n v="0.24"/>
    <n v="5.6468354688000018"/>
    <n v="0"/>
  </r>
  <r>
    <s v="Kvæg"/>
    <n v="1201"/>
    <s v="1 årsko uden opdræt, malkekvæg, tung race"/>
    <x v="8"/>
    <s v="Sengestald med fast gulv"/>
    <x v="5"/>
    <n v="120103"/>
    <n v="121304"/>
    <n v="0"/>
    <s v="Kvæggylle"/>
    <m/>
    <n v="31.7"/>
    <n v="0.08"/>
    <n v="0"/>
    <m/>
    <m/>
    <n v="18"/>
    <n v="181"/>
    <n v="1928.7495890410964"/>
    <n v="100.05041095890412"/>
    <n v="12.5"/>
    <n v="0.24"/>
    <n v="40.778880000000015"/>
    <n v="0"/>
  </r>
  <r>
    <s v="Kvæg"/>
    <n v="1201"/>
    <s v="1 årsko uden opdræt, malkekvæg, tung race"/>
    <x v="8"/>
    <s v="Sengestald med spalter (kanal, bagskyl eller ringk"/>
    <x v="5"/>
    <n v="120105"/>
    <n v="121306"/>
    <n v="188.07"/>
    <s v="Kvæggylle"/>
    <m/>
    <n v="31.7"/>
    <n v="0.08"/>
    <n v="5961.8189999999995"/>
    <m/>
    <m/>
    <n v="18"/>
    <n v="181"/>
    <n v="1928.7495890410964"/>
    <n v="100.05041095890412"/>
    <n v="12.5"/>
    <n v="0.24"/>
    <n v="40.778880000000015"/>
    <n v="7.6692839616000033"/>
  </r>
  <r>
    <s v="Kvæg"/>
    <n v="1201"/>
    <s v="1 årsko uden opdræt, malkekvæg, tung race"/>
    <x v="8"/>
    <s v="Sengestald med spalter (kanal, linespil)"/>
    <x v="5"/>
    <n v="120104"/>
    <n v="121305"/>
    <n v="0"/>
    <s v="Kvæggylle"/>
    <m/>
    <n v="31.7"/>
    <n v="0.08"/>
    <n v="0"/>
    <m/>
    <m/>
    <n v="18"/>
    <n v="181"/>
    <n v="1928.7495890410964"/>
    <n v="100.05041095890412"/>
    <n v="12.5"/>
    <n v="0.24"/>
    <n v="40.778880000000015"/>
    <n v="0"/>
  </r>
  <r>
    <s v="Kvæg"/>
    <n v="1201"/>
    <s v="1 årsko uden opdræt, malkekvæg, tung race"/>
    <x v="8"/>
    <s v="Sengestald, fast drænet gulv med skraber og ajleaf"/>
    <x v="5"/>
    <n v="120114"/>
    <n v="121315"/>
    <n v="0"/>
    <s v="Kvæggylle"/>
    <m/>
    <n v="31.46"/>
    <n v="0.08"/>
    <n v="0"/>
    <m/>
    <m/>
    <n v="18"/>
    <n v="181"/>
    <n v="1914.147068493151"/>
    <n v="99.292931506849314"/>
    <n v="12.5"/>
    <n v="0.24"/>
    <n v="40.470144000000005"/>
    <n v="0"/>
  </r>
  <r>
    <s v="Kvæg"/>
    <n v="1233"/>
    <s v="1 årsopdræt (kvier/stude 6 mdr. - kælvning (25 mdr)/slagtning, Jersey)"/>
    <x v="9"/>
    <s v="Bindestald med grebning"/>
    <x v="4"/>
    <n v="123301"/>
    <n v="124534"/>
    <n v="0"/>
    <s v="Fast gødning"/>
    <m/>
    <n v="3.36"/>
    <n v="0.186"/>
    <n v="0"/>
    <m/>
    <m/>
    <n v="132"/>
    <n v="181"/>
    <n v="319.15765479452057"/>
    <n v="180.81034520547942"/>
    <n v="2"/>
    <n v="0.18"/>
    <n v="1.205922816"/>
    <n v="0"/>
  </r>
  <r>
    <s v="Kvæg"/>
    <m/>
    <s v="1 årsopdræt (kvier/stude 6 mdr. - kælvning (25 mdr)/slagtning, Jersey)"/>
    <x v="9"/>
    <s v="Bindestald med grebning"/>
    <x v="4"/>
    <m/>
    <n v="0"/>
    <m/>
    <s v="Ajle"/>
    <m/>
    <n v="2.56"/>
    <n v="3.1E-2"/>
    <n v="0"/>
    <m/>
    <m/>
    <n v="132"/>
    <n v="181"/>
    <n v="40.527956164383561"/>
    <n v="22.960043835616439"/>
    <n v="12.5"/>
    <n v="0.18"/>
    <n v="0.95708159999999998"/>
    <n v="0"/>
  </r>
  <r>
    <s v="Kvæg"/>
    <n v="1233"/>
    <s v="1 årsopdræt (kvier/stude 6 mdr. - kælvning (25 mdr)/slagtning, Jersey)"/>
    <x v="9"/>
    <s v="Bindestald med riste"/>
    <x v="4"/>
    <n v="123302"/>
    <n v="124535"/>
    <n v="0"/>
    <s v="Kvæggylle"/>
    <m/>
    <n v="5.31"/>
    <n v="0.127"/>
    <n v="0"/>
    <m/>
    <m/>
    <n v="132"/>
    <n v="181"/>
    <n v="344.39059726027403"/>
    <n v="195.10540273972606"/>
    <n v="12.5"/>
    <n v="0.18"/>
    <n v="8.132902200000002"/>
    <n v="0"/>
  </r>
  <r>
    <s v="Kvæg"/>
    <n v="1233"/>
    <s v="1 årsopdræt (kvier/stude 6 mdr. - kælvning (25 mdr)/slagtning, Jersey)"/>
    <x v="9"/>
    <s v="Dybstrøelse, + kort ædeplads med fast gulv"/>
    <x v="0"/>
    <n v="123307"/>
    <n v="124540"/>
    <n v="0"/>
    <m/>
    <s v="Dybstrøelse"/>
    <m/>
    <m/>
    <n v="0"/>
    <n v="3.82"/>
    <n v="0.3"/>
    <n v="132"/>
    <n v="181"/>
    <n v="731.22696410958906"/>
    <n v="331.55506849315071"/>
    <n v="17"/>
    <n v="0.18"/>
    <n v="21.78915723242137"/>
    <n v="0"/>
  </r>
  <r>
    <s v="Kvæg"/>
    <n v="1233"/>
    <s v="1 årsopdræt (kvier/stude 6 mdr. - kælvning (25 mdr)/slagtning, Jersey)"/>
    <x v="9"/>
    <s v="Dybstrøelse, hele arealet"/>
    <x v="0"/>
    <n v="123306"/>
    <n v="124539"/>
    <n v="72.56"/>
    <m/>
    <s v="Dybstrøelse"/>
    <m/>
    <m/>
    <n v="0"/>
    <n v="4.45"/>
    <n v="0.3"/>
    <n v="132"/>
    <n v="181"/>
    <n v="851.82198698630134"/>
    <n v="386.23561643835615"/>
    <n v="17"/>
    <n v="0.18"/>
    <n v="25.382656985412329"/>
    <n v="1.8417655908615187"/>
  </r>
  <r>
    <s v="Kvæg"/>
    <n v="1233"/>
    <s v="1 årsopdræt (kvier/stude 6 mdr. - kælvning (25 mdr)/slagtning, Jersey)"/>
    <x v="9"/>
    <s v="Dybstrøelse, lang ædeplads med fast gulv"/>
    <x v="0"/>
    <n v="123308"/>
    <n v="124541"/>
    <n v="0"/>
    <s v="Kvæggylle"/>
    <m/>
    <n v="2.1"/>
    <n v="0.104"/>
    <n v="0"/>
    <m/>
    <m/>
    <n v="132"/>
    <n v="181"/>
    <n v="111.53358904109589"/>
    <n v="63.186410958904112"/>
    <n v="12.5"/>
    <n v="0.18"/>
    <n v="2.6339040000000002"/>
    <n v="0"/>
  </r>
  <r>
    <s v="Kvæg"/>
    <m/>
    <s v="1 årsopdræt (kvier/stude 6 mdr. - kælvning (25 mdr)/slagtning, Jersey)"/>
    <x v="9"/>
    <s v="Dybstrøelse, lang ædeplads med fast gulv"/>
    <x v="0"/>
    <m/>
    <n v="0"/>
    <m/>
    <m/>
    <s v="Dybstrøelse"/>
    <m/>
    <m/>
    <n v="0"/>
    <n v="3.31"/>
    <n v="0.3"/>
    <n v="132"/>
    <n v="181"/>
    <n v="633.60242178082194"/>
    <n v="287.28986301369866"/>
    <n v="17"/>
    <n v="0.18"/>
    <n v="18.880133622857265"/>
    <n v="0"/>
  </r>
  <r>
    <s v="Kvæg"/>
    <n v="1233"/>
    <s v="1 årsopdræt (kvier/stude 6 mdr. - kælvning (25 mdr)/slagtning, Jersey)"/>
    <x v="9"/>
    <s v="Dybstrøelse, lang ædeplads med spalter (kanal, bag"/>
    <x v="0"/>
    <n v="123310"/>
    <n v="124543"/>
    <n v="0"/>
    <s v="Kvæggylle"/>
    <m/>
    <n v="2.1"/>
    <n v="0.104"/>
    <n v="0"/>
    <m/>
    <m/>
    <n v="132"/>
    <n v="181"/>
    <n v="111.53358904109589"/>
    <n v="63.186410958904112"/>
    <n v="12.5"/>
    <n v="0.18"/>
    <n v="2.6339040000000002"/>
    <n v="0"/>
  </r>
  <r>
    <s v="Kvæg"/>
    <m/>
    <s v="1 årsopdræt (kvier/stude 6 mdr. - kælvning (25 mdr)/slagtning, Jersey)"/>
    <x v="9"/>
    <s v="Dybstrøelse, lang ædeplads med spalter (kanal, bag"/>
    <x v="0"/>
    <m/>
    <n v="0"/>
    <m/>
    <m/>
    <s v="Dybstrøelse"/>
    <m/>
    <m/>
    <n v="0"/>
    <n v="3.31"/>
    <n v="0.3"/>
    <n v="132"/>
    <n v="181"/>
    <n v="633.60242178082194"/>
    <n v="287.28986301369866"/>
    <n v="17"/>
    <n v="0.18"/>
    <n v="18.880133622857265"/>
    <n v="0"/>
  </r>
  <r>
    <s v="Kvæg"/>
    <n v="1233"/>
    <s v="1 årsopdræt (kvier/stude 6 mdr. - kælvning (25 mdr)/slagtning, Jersey)"/>
    <x v="9"/>
    <s v="Dybstrøelse, lang ædeplads med spalter (kanal, lin"/>
    <x v="0"/>
    <n v="123309"/>
    <n v="124542"/>
    <n v="0"/>
    <s v="Kvæggylle"/>
    <m/>
    <n v="2.1"/>
    <n v="0.104"/>
    <n v="0"/>
    <m/>
    <m/>
    <n v="132"/>
    <n v="181"/>
    <n v="111.53358904109589"/>
    <n v="63.186410958904112"/>
    <n v="12.5"/>
    <n v="0.18"/>
    <n v="2.6339040000000002"/>
    <n v="0"/>
  </r>
  <r>
    <s v="Kvæg"/>
    <m/>
    <s v="1 årsopdræt (kvier/stude 6 mdr. - kælvning (25 mdr)/slagtning, Jersey)"/>
    <x v="9"/>
    <s v="Dybstrøelse, lang ædeplads med spalter (kanal, lin"/>
    <x v="0"/>
    <m/>
    <n v="0"/>
    <m/>
    <m/>
    <s v="Dybstrøelse"/>
    <m/>
    <m/>
    <n v="0"/>
    <n v="3.31"/>
    <n v="0.3"/>
    <n v="132"/>
    <n v="181"/>
    <n v="633.60242178082194"/>
    <n v="287.28986301369866"/>
    <n v="17"/>
    <n v="0.18"/>
    <n v="18.880133622857265"/>
    <n v="0"/>
  </r>
  <r>
    <s v="Kvæg"/>
    <n v="1233"/>
    <s v="1 årsopdræt (kvier/stude 6 mdr. - kælvning (25 mdr)/slagtning, Jersey)"/>
    <x v="9"/>
    <s v="Sengestald med fast gulv"/>
    <x v="5"/>
    <n v="123303"/>
    <n v="124536"/>
    <n v="0"/>
    <s v="Kvæggylle"/>
    <m/>
    <n v="4.6399999999999997"/>
    <n v="0.127"/>
    <n v="0"/>
    <m/>
    <m/>
    <n v="132"/>
    <n v="181"/>
    <n v="300.93641643835616"/>
    <n v="170.48758356164385"/>
    <n v="12.5"/>
    <n v="0.18"/>
    <n v="7.1067168000000009"/>
    <n v="0"/>
  </r>
  <r>
    <s v="Kvæg"/>
    <n v="1233"/>
    <s v="1 årsopdræt (kvier/stude 6 mdr. - kælvning (25 mdr)/slagtning, Jersey)"/>
    <x v="9"/>
    <s v="Sengestald med spaltegulv (kanal, bagskyl eller ri"/>
    <x v="5"/>
    <n v="123305"/>
    <n v="124538"/>
    <n v="0"/>
    <s v="Kvæggylle"/>
    <m/>
    <n v="4.6399999999999997"/>
    <n v="0.127"/>
    <n v="0"/>
    <m/>
    <m/>
    <n v="132"/>
    <n v="181"/>
    <n v="300.93641643835616"/>
    <n v="170.48758356164385"/>
    <n v="12.5"/>
    <n v="0.18"/>
    <n v="7.1067168000000009"/>
    <n v="0"/>
  </r>
  <r>
    <s v="Kvæg"/>
    <n v="1233"/>
    <s v="1 årsopdræt (kvier/stude 6 mdr. - kælvning (25 mdr)/slagtning, Jersey)"/>
    <x v="9"/>
    <s v="Sengestald med spaltegulv (kanal, linespil)"/>
    <x v="5"/>
    <n v="123304"/>
    <n v="124537"/>
    <n v="0"/>
    <s v="Kvæggylle"/>
    <m/>
    <n v="4.6399999999999997"/>
    <n v="0.127"/>
    <n v="0"/>
    <m/>
    <m/>
    <n v="132"/>
    <n v="181"/>
    <n v="300.93641643835616"/>
    <n v="170.48758356164385"/>
    <n v="12.5"/>
    <n v="0.18"/>
    <n v="7.1067168000000009"/>
    <n v="0"/>
  </r>
  <r>
    <s v="Kvæg"/>
    <n v="1233"/>
    <s v="1 årsopdræt (kvier/stude 6 mdr. - kælvning (25 mdr)/slagtning, Jersey)"/>
    <x v="9"/>
    <s v="Sengestald, fast drænet gulv med skraber og ajleaf"/>
    <x v="5"/>
    <n v="123316"/>
    <n v="124549"/>
    <n v="0"/>
    <s v="Kvæggylle"/>
    <m/>
    <n v="4.6399999999999997"/>
    <n v="0.127"/>
    <n v="0"/>
    <m/>
    <m/>
    <n v="132"/>
    <n v="181"/>
    <n v="300.93641643835616"/>
    <n v="170.48758356164385"/>
    <n v="12.5"/>
    <n v="0.18"/>
    <n v="7.1067168000000009"/>
    <n v="0"/>
  </r>
  <r>
    <s v="Kvæg"/>
    <n v="1233"/>
    <s v="1 årsopdræt (kvier/stude 6 mdr. - kælvning (25 mdr)/slagtning, Jersey)"/>
    <x v="9"/>
    <s v="Spaltegulvbokse"/>
    <x v="6"/>
    <n v="123312"/>
    <n v="124545"/>
    <n v="0"/>
    <s v="Kvæggylle"/>
    <m/>
    <n v="5.46"/>
    <n v="0.1"/>
    <n v="0"/>
    <m/>
    <m/>
    <n v="132"/>
    <n v="181"/>
    <n v="278.83397260273972"/>
    <n v="157.96602739726026"/>
    <n v="12.5"/>
    <n v="0.18"/>
    <n v="6.5847599999999993"/>
    <n v="0"/>
  </r>
  <r>
    <s v="Kvæg"/>
    <n v="1203"/>
    <s v="1 årsopdræt (kvier/stude 6 mdr. - kælvning (27 mdr)/slagtning, tung race)"/>
    <x v="9"/>
    <s v="Bindestald med grebning"/>
    <x v="4"/>
    <n v="120301"/>
    <n v="121504"/>
    <n v="37.799999999999997"/>
    <s v="Fast gødning"/>
    <m/>
    <n v="4.51"/>
    <n v="0.182"/>
    <n v="170.47799999999998"/>
    <m/>
    <m/>
    <n v="132"/>
    <n v="181"/>
    <n v="419.18040547945202"/>
    <n v="237.47559452054793"/>
    <n v="2"/>
    <n v="0.18"/>
    <n v="1.583854272"/>
    <n v="5.9869691481599992E-2"/>
  </r>
  <r>
    <s v="Kvæg"/>
    <m/>
    <s v="1 årsopdræt (kvier/stude 6 mdr. - kælvning (27 mdr)/slagtning, tung race)"/>
    <x v="9"/>
    <s v="Bindestald med grebning"/>
    <x v="4"/>
    <m/>
    <n v="0"/>
    <m/>
    <s v="Ajle"/>
    <m/>
    <n v="3.17"/>
    <n v="3.4000000000000002E-2"/>
    <n v="0"/>
    <m/>
    <m/>
    <n v="132"/>
    <n v="181"/>
    <n v="55.041621917808222"/>
    <n v="31.182378082191786"/>
    <n v="12.5"/>
    <n v="0.18"/>
    <n v="1.2998267999999999"/>
    <n v="4.913345303999999E-2"/>
  </r>
  <r>
    <s v="Kvæg"/>
    <n v="1203"/>
    <s v="1 årsopdræt (kvier/stude 6 mdr. - kælvning (27 mdr)/slagtning, tung race)"/>
    <x v="9"/>
    <s v="Bindestald med riste"/>
    <x v="4"/>
    <n v="120302"/>
    <n v="121505"/>
    <n v="0"/>
    <s v="Kvæggylle"/>
    <m/>
    <n v="7.22"/>
    <n v="0.123"/>
    <n v="0"/>
    <m/>
    <m/>
    <n v="132"/>
    <n v="181"/>
    <n v="453.51886027397262"/>
    <n v="256.92913972602742"/>
    <n v="12.5"/>
    <n v="0.18"/>
    <n v="10.7100036"/>
    <n v="0"/>
  </r>
  <r>
    <s v="Kvæg"/>
    <n v="1203"/>
    <s v="1 årsopdræt (kvier/stude 6 mdr. - kælvning (27 mdr)/slagtning, tung race)"/>
    <x v="9"/>
    <s v="Dybstrøelse + kort ædeplads med fast gulv"/>
    <x v="0"/>
    <n v="120307"/>
    <n v="121510"/>
    <n v="103.66"/>
    <m/>
    <s v="Dybstrøelse"/>
    <m/>
    <m/>
    <n v="0"/>
    <n v="4.88"/>
    <n v="0.3"/>
    <n v="132"/>
    <n v="181"/>
    <n v="934.13287561643835"/>
    <n v="423.55726027397259"/>
    <n v="17"/>
    <n v="0.18"/>
    <n v="27.835363166025203"/>
    <n v="2.8854137457901725"/>
  </r>
  <r>
    <s v="Kvæg"/>
    <n v="1203"/>
    <s v="1 årsopdræt (kvier/stude 6 mdr. - kælvning (27 mdr)/slagtning, tung race)"/>
    <x v="9"/>
    <s v="Dybstrøelse, hele arealet"/>
    <x v="0"/>
    <n v="120306"/>
    <n v="121509"/>
    <n v="356.1"/>
    <m/>
    <s v="Dybstrøelse"/>
    <m/>
    <m/>
    <n v="0"/>
    <n v="5.52"/>
    <n v="0.3"/>
    <n v="132"/>
    <n v="181"/>
    <n v="1056.6421052054795"/>
    <n v="479.10575342465756"/>
    <n v="17"/>
    <n v="0.18"/>
    <n v="31.485902597635068"/>
    <n v="11.212129915017849"/>
  </r>
  <r>
    <s v="Kvæg"/>
    <n v="1203"/>
    <s v="1 årsopdræt (kvier/stude 6 mdr. - kælvning (27 mdr)/slagtning, tung race)"/>
    <x v="9"/>
    <s v="Dybstrøelse, lang ædeplads med fast gulv"/>
    <x v="0"/>
    <n v="120308"/>
    <n v="121511"/>
    <n v="0"/>
    <s v="Kvæggylle"/>
    <m/>
    <n v="2.65"/>
    <n v="0.11"/>
    <n v="0"/>
    <m/>
    <m/>
    <n v="132"/>
    <n v="181"/>
    <n v="148.86465753424656"/>
    <n v="84.335342465753428"/>
    <n v="12.5"/>
    <n v="0.18"/>
    <n v="3.5154899999999998"/>
    <n v="0"/>
  </r>
  <r>
    <s v="Kvæg"/>
    <m/>
    <s v="1 årsopdræt (kvier/stude 6 mdr. - kælvning (27 mdr)/slagtning, tung race)"/>
    <x v="9"/>
    <s v="Dybstrøelse, lang ædeplads med fast gulv"/>
    <x v="0"/>
    <m/>
    <n v="0"/>
    <m/>
    <m/>
    <s v="Dybstrøelse"/>
    <m/>
    <m/>
    <n v="0"/>
    <n v="4.2"/>
    <n v="0.3"/>
    <n v="132"/>
    <n v="181"/>
    <n v="803.96681917808223"/>
    <n v="364.53698630136989"/>
    <n v="17"/>
    <n v="0.18"/>
    <n v="23.956665019939731"/>
    <n v="0"/>
  </r>
  <r>
    <s v="Kvæg"/>
    <n v="1203"/>
    <s v="1 årsopdræt (kvier/stude 6 mdr. - kælvning (27 mdr)/slagtning, tung race)"/>
    <x v="9"/>
    <s v="Dybstrøelse, lang ædeplads med spalter (kanal, bag"/>
    <x v="0"/>
    <n v="120310"/>
    <n v="121513"/>
    <n v="0"/>
    <s v="Kvæggylle"/>
    <m/>
    <n v="2.65"/>
    <n v="0.11"/>
    <n v="0"/>
    <m/>
    <m/>
    <n v="132"/>
    <n v="181"/>
    <n v="148.86465753424656"/>
    <n v="84.335342465753428"/>
    <n v="12.5"/>
    <n v="0.18"/>
    <n v="3.5154899999999998"/>
    <n v="0"/>
  </r>
  <r>
    <s v="Kvæg"/>
    <m/>
    <s v="1 årsopdræt (kvier/stude 6 mdr. - kælvning (27 mdr)/slagtning, tung race)"/>
    <x v="9"/>
    <s v="Dybstrøelse, lang ædeplads med spalter (kanal, bag"/>
    <x v="0"/>
    <m/>
    <n v="0"/>
    <m/>
    <m/>
    <s v="Dybstrøelse"/>
    <m/>
    <m/>
    <n v="0"/>
    <n v="4.2"/>
    <n v="0.3"/>
    <n v="132"/>
    <n v="181"/>
    <n v="803.96681917808223"/>
    <n v="364.53698630136989"/>
    <n v="17"/>
    <n v="0.18"/>
    <n v="23.956665019939731"/>
    <n v="0"/>
  </r>
  <r>
    <s v="Kvæg"/>
    <n v="1203"/>
    <s v="1 årsopdræt (kvier/stude 6 mdr. - kælvning (27 mdr)/slagtning, tung race)"/>
    <x v="9"/>
    <s v="Dybstrøelse, lang ædeplads med spalter (kanal, lin"/>
    <x v="0"/>
    <n v="120309"/>
    <n v="121512"/>
    <n v="0"/>
    <s v="Kvæggylle"/>
    <m/>
    <n v="2.65"/>
    <n v="0.11"/>
    <n v="0"/>
    <m/>
    <m/>
    <n v="132"/>
    <n v="181"/>
    <n v="148.86465753424656"/>
    <n v="84.335342465753428"/>
    <n v="12.5"/>
    <n v="0.18"/>
    <n v="3.5154899999999998"/>
    <n v="0"/>
  </r>
  <r>
    <s v="Kvæg"/>
    <m/>
    <s v="1 årsopdræt (kvier/stude 6 mdr. - kælvning (27 mdr)/slagtning, tung race)"/>
    <x v="9"/>
    <s v="Dybstrøelse, lang ædeplads med spalter (kanal, lin"/>
    <x v="0"/>
    <m/>
    <n v="0"/>
    <m/>
    <m/>
    <s v="Dybstrøelse"/>
    <m/>
    <m/>
    <n v="0"/>
    <n v="4.2"/>
    <n v="0.3"/>
    <n v="132"/>
    <n v="181"/>
    <n v="803.96681917808223"/>
    <n v="364.53698630136989"/>
    <n v="17"/>
    <n v="0.18"/>
    <n v="23.956665019939731"/>
    <n v="0"/>
  </r>
  <r>
    <s v="Kvæg"/>
    <n v="1203"/>
    <s v="1 årsopdræt (kvier/stude 6 mdr. - kælvning (27 mdr)/slagtning, tung race)"/>
    <x v="9"/>
    <s v="Sengestald med fast gulv"/>
    <x v="5"/>
    <n v="120303"/>
    <n v="121506"/>
    <n v="0"/>
    <s v="Kvæggylle"/>
    <m/>
    <n v="6.44"/>
    <n v="0.123"/>
    <n v="0"/>
    <m/>
    <m/>
    <n v="132"/>
    <n v="181"/>
    <n v="404.52374794520551"/>
    <n v="229.17225205479454"/>
    <n v="12.5"/>
    <n v="0.18"/>
    <n v="9.5529672000000012"/>
    <n v="0"/>
  </r>
  <r>
    <s v="Kvæg"/>
    <n v="1203"/>
    <s v="1 årsopdræt (kvier/stude 6 mdr. - kælvning (27 mdr)/slagtning, tung race)"/>
    <x v="9"/>
    <s v="Sengestald med spaltegulv (kanal, bagskyl eller ri"/>
    <x v="5"/>
    <n v="120305"/>
    <n v="121508"/>
    <n v="0"/>
    <s v="Kvæggylle"/>
    <m/>
    <n v="6.44"/>
    <n v="0.123"/>
    <n v="0"/>
    <m/>
    <m/>
    <n v="132"/>
    <n v="181"/>
    <n v="404.52374794520551"/>
    <n v="229.17225205479454"/>
    <n v="12.5"/>
    <n v="0.18"/>
    <n v="9.5529672000000012"/>
    <n v="0"/>
  </r>
  <r>
    <s v="Kvæg"/>
    <n v="1203"/>
    <s v="1 årsopdræt (kvier/stude 6 mdr. - kælvning (27 mdr)/slagtning, tung race)"/>
    <x v="9"/>
    <s v="Sengestald med spaltegulv (kanal, linespil)"/>
    <x v="5"/>
    <n v="120304"/>
    <n v="121507"/>
    <n v="0"/>
    <s v="Kvæggylle"/>
    <m/>
    <n v="6.44"/>
    <n v="0.123"/>
    <n v="0"/>
    <m/>
    <m/>
    <n v="132"/>
    <n v="181"/>
    <n v="404.52374794520551"/>
    <n v="229.17225205479454"/>
    <n v="12.5"/>
    <n v="0.18"/>
    <n v="9.5529672000000012"/>
    <n v="0"/>
  </r>
  <r>
    <s v="Kvæg"/>
    <n v="1203"/>
    <s v="1 årsopdræt (kvier/stude 6 mdr. - kælvning (27 mdr)/slagtning, tung race)"/>
    <x v="9"/>
    <s v="Sengestald, fast drænet gulv med skraber og ajleaf"/>
    <x v="5"/>
    <n v="120316"/>
    <n v="121519"/>
    <n v="0"/>
    <s v="Kvæggylle"/>
    <m/>
    <n v="6.44"/>
    <n v="0.123"/>
    <n v="0"/>
    <m/>
    <m/>
    <n v="132"/>
    <n v="181"/>
    <n v="404.52374794520551"/>
    <n v="229.17225205479454"/>
    <n v="12.5"/>
    <n v="0.24"/>
    <n v="12.7372896"/>
    <n v="0"/>
  </r>
  <r>
    <s v="Kvæg"/>
    <n v="1203"/>
    <s v="1 årsopdræt (kvier/stude 6 mdr. - kælvning (27 mdr)/slagtning, tung race)"/>
    <x v="9"/>
    <s v="Spaltegulvbokse"/>
    <x v="6"/>
    <n v="120312"/>
    <n v="121515"/>
    <n v="0"/>
    <s v="Kvæggylle"/>
    <m/>
    <n v="7.28"/>
    <n v="0.1"/>
    <n v="0"/>
    <m/>
    <m/>
    <n v="132"/>
    <n v="181"/>
    <n v="371.77863013698635"/>
    <n v="210.62136986301374"/>
    <n v="12.5"/>
    <n v="0.18"/>
    <n v="8.7796800000000008"/>
    <n v="0"/>
  </r>
  <r>
    <s v="Kvæg"/>
    <n v="1232"/>
    <s v="1 årsopdræt (småkalv 0-6 mdr., Jersey)"/>
    <x v="10"/>
    <s v="Dybstrøelse (hele arealet)"/>
    <x v="0"/>
    <n v="123201"/>
    <n v="124433"/>
    <n v="5.97"/>
    <m/>
    <s v="Dybstrøelse"/>
    <m/>
    <m/>
    <n v="0"/>
    <n v="1.48"/>
    <n v="0.3"/>
    <n v="224"/>
    <n v="224"/>
    <n v="171.44062520547948"/>
    <n v="217.98575342465756"/>
    <n v="17"/>
    <n v="0.18"/>
    <n v="7.9840196146750699"/>
    <n v="4.7664597099610163E-2"/>
  </r>
  <r>
    <s v="Kvæg"/>
    <n v="1232"/>
    <s v="1 årsopdræt (småkalv 0-6 mdr., Jersey)"/>
    <x v="10"/>
    <s v="Dybstrøelse + kort ædeplads med fast gulv"/>
    <x v="0"/>
    <n v="123202"/>
    <n v="124434"/>
    <n v="0"/>
    <m/>
    <s v="Dybstrøelse"/>
    <m/>
    <m/>
    <n v="0"/>
    <n v="0.75"/>
    <n v="0.3"/>
    <n v="224"/>
    <n v="224"/>
    <n v="86.87869520547946"/>
    <n v="110.46575342465754"/>
    <n v="17"/>
    <n v="0.18"/>
    <n v="4.0459558858150686"/>
    <n v="0"/>
  </r>
  <r>
    <s v="Kvæg"/>
    <n v="1202"/>
    <s v="1 årsopdræt (småkalv 0-6 mdr., tung race)"/>
    <x v="10"/>
    <s v="Dybstrøelse (hele arealet)"/>
    <x v="0"/>
    <n v="120201"/>
    <n v="121403"/>
    <n v="161.9"/>
    <m/>
    <s v="Dybstrøelse"/>
    <m/>
    <m/>
    <n v="0"/>
    <n v="1.86"/>
    <n v="0.3"/>
    <n v="224"/>
    <n v="224"/>
    <n v="215.45916410958904"/>
    <n v="273.95506849315069"/>
    <n v="17"/>
    <n v="0.18"/>
    <n v="10.033970596821371"/>
    <n v="1.62449983962538"/>
  </r>
  <r>
    <s v="Kvæg"/>
    <n v="1202"/>
    <s v="1 årsopdræt (småkalv 0-6 mdr., tung race)"/>
    <x v="10"/>
    <s v="Dybstrøelse + kort ædeplads med fast gulv"/>
    <x v="0"/>
    <n v="120202"/>
    <n v="121404"/>
    <n v="7.98"/>
    <m/>
    <s v="Dybstrøelse"/>
    <m/>
    <m/>
    <n v="0"/>
    <n v="0.98"/>
    <n v="0.3"/>
    <n v="224"/>
    <n v="224"/>
    <n v="113.52149506849317"/>
    <n v="144.34191780821919"/>
    <n v="17"/>
    <n v="0.18"/>
    <n v="5.2867156907983563"/>
    <n v="4.2187991212570886E-2"/>
  </r>
  <r>
    <s v="Mink"/>
    <n v="2400"/>
    <s v="Mink, 1 årstæve"/>
    <x v="11"/>
    <s v="Kødædende pelsdyr, bure, fast gødning i gødn.rende"/>
    <x v="2"/>
    <n v="240003"/>
    <n v="242403"/>
    <n v="0"/>
    <s v="Anden husdyrgødning"/>
    <m/>
    <n v="0.35"/>
    <n v="0.12"/>
    <n v="0"/>
    <m/>
    <m/>
    <n v="0"/>
    <n v="0"/>
    <n v="33.599999999999994"/>
    <n v="0"/>
    <n v="10.14"/>
    <n v="0.25"/>
    <n v="0.57067919999999994"/>
    <n v="0"/>
  </r>
  <r>
    <s v="Mink"/>
    <n v="2400"/>
    <s v="Mink, 1 årstæve"/>
    <x v="11"/>
    <s v="Kødædende pelsdyr, bure, gødn.rende, ugentlig tømn"/>
    <x v="2"/>
    <n v="240001"/>
    <n v="242401"/>
    <n v="28565.51"/>
    <s v="Minkgylle"/>
    <s v="Dybstrøelse"/>
    <n v="0.06"/>
    <n v="0.35"/>
    <n v="1713.9305999999999"/>
    <m/>
    <m/>
    <n v="0"/>
    <n v="0"/>
    <n v="16.799999999999997"/>
    <n v="0"/>
    <n v="10.14"/>
    <n v="0.25"/>
    <n v="0.28533959999999997"/>
    <n v="8.1508711971959986"/>
  </r>
  <r>
    <s v="Ræve"/>
    <n v="9923"/>
    <s v="Pelsdyr, andre staldsystemer (antal DE)"/>
    <x v="11"/>
    <s v="Andre ræve eller ræve, andre staldsystemer"/>
    <x v="2"/>
    <n v="992301"/>
    <n v="1002224"/>
    <n v="0"/>
    <s v="Anden husdyrgødning"/>
    <m/>
    <s v="NE"/>
    <s v="NE"/>
    <m/>
    <n v="4.5199999999999996"/>
    <n v="0.26"/>
    <n v="0"/>
    <n v="0"/>
    <s v="NE"/>
    <s v="NE"/>
    <n v="10.14"/>
    <n v="0.25"/>
    <s v="NE"/>
    <s v="NE"/>
  </r>
  <r>
    <s v="Svin"/>
    <n v="1502"/>
    <s v="1 årsso m. 33,3 grise til 6,6 kg, andel fra farestald."/>
    <x v="12"/>
    <s v="Friland, fareperiode"/>
    <x v="3"/>
    <n v="150205"/>
    <n v="151707"/>
    <n v="0"/>
    <s v="Anden husdyrgødning"/>
    <m/>
    <n v="1.26"/>
    <n v="7.6999999999999999E-2"/>
    <n v="0"/>
    <m/>
    <m/>
    <n v="0"/>
    <n v="181"/>
    <n v="77.616"/>
    <n v="0"/>
    <n v="1"/>
    <n v="0.45"/>
    <n v="0.23401224000000001"/>
    <n v="0"/>
  </r>
  <r>
    <s v="Svin"/>
    <n v="1502"/>
    <s v="1 årsso m. 33,3 grise til 6,6 kg, andel fra farestald."/>
    <x v="12"/>
    <s v="Kassestier, delvis spaltegulv"/>
    <x v="6"/>
    <n v="150201"/>
    <n v="151703"/>
    <n v="0"/>
    <s v="Svinegylle"/>
    <m/>
    <n v="1.64"/>
    <n v="4.4999999999999998E-2"/>
    <n v="0"/>
    <m/>
    <m/>
    <n v="0"/>
    <n v="181"/>
    <n v="59.04"/>
    <n v="0"/>
    <n v="13.7"/>
    <n v="0.45"/>
    <n v="2.4386767200000001"/>
    <n v="0"/>
  </r>
  <r>
    <s v="Svin"/>
    <n v="1502"/>
    <s v="1 årsso m. 33,3 grise til 6,6 kg, andel fra farestald."/>
    <x v="12"/>
    <s v="Kassestier, fuldspaltegulv"/>
    <x v="6"/>
    <n v="150202"/>
    <n v="151704"/>
    <n v="0"/>
    <s v="Svinegylle"/>
    <m/>
    <n v="1.64"/>
    <n v="4.4999999999999998E-2"/>
    <n v="0"/>
    <m/>
    <m/>
    <n v="0"/>
    <n v="181"/>
    <n v="59.04"/>
    <n v="0"/>
    <n v="13.7"/>
    <n v="0.45"/>
    <n v="2.4386767200000001"/>
    <n v="0"/>
  </r>
  <r>
    <s v="Svin"/>
    <n v="1501"/>
    <s v="1 årsso m. 33,3 grise til 6,6 kg, andel fra løbe- og drægtighedsstald"/>
    <x v="12"/>
    <s v="Individuel opstaldning, delvis spaltegulv"/>
    <x v="6"/>
    <n v="150101"/>
    <n v="151602"/>
    <n v="0"/>
    <s v="Svinegylle"/>
    <m/>
    <n v="4.01"/>
    <n v="4.4999999999999998E-2"/>
    <n v="0"/>
    <m/>
    <m/>
    <n v="0"/>
    <n v="181"/>
    <n v="144.35999999999999"/>
    <n v="0"/>
    <n v="13.4"/>
    <n v="0.45"/>
    <n v="5.8322883600000006"/>
    <n v="0"/>
  </r>
  <r>
    <s v="Svin"/>
    <n v="1501"/>
    <s v="1 årsso m. 33,3 grise til 6,6 kg, andel fra løbe- og drægtighedsstald"/>
    <x v="12"/>
    <s v="Individuel opstaldning, fast gulv"/>
    <x v="6"/>
    <n v="150108"/>
    <n v="151609"/>
    <n v="0"/>
    <s v="Fast gødning"/>
    <m/>
    <n v="1.75"/>
    <n v="2.5000000000000001E-2"/>
    <n v="0"/>
    <m/>
    <m/>
    <n v="0"/>
    <n v="181"/>
    <n v="35"/>
    <n v="0"/>
    <n v="2"/>
    <n v="0.45"/>
    <n v="0.21104999999999999"/>
    <n v="0"/>
  </r>
  <r>
    <s v="Svin"/>
    <m/>
    <s v="1 årsso m. 33,3 grise til 6,6 kg, andel fra løbe- og drægtighedsstald"/>
    <x v="12"/>
    <s v="Individuel opstaldning, fast gulv"/>
    <x v="6"/>
    <m/>
    <n v="0"/>
    <m/>
    <m/>
    <s v="Ajle"/>
    <m/>
    <m/>
    <n v="0"/>
    <n v="1.73"/>
    <n v="2.5000000000000001E-2"/>
    <n v="0"/>
    <n v="181"/>
    <n v="43.230537500000011"/>
    <n v="0"/>
    <n v="13.7"/>
    <n v="0.45"/>
    <n v="1.7856589667062506"/>
    <n v="0"/>
  </r>
  <r>
    <s v="Svin"/>
    <n v="1501"/>
    <s v="1 årsso m. 33,3 grise til 6,6 kg, andel fra løbe- og drægtighedsstald"/>
    <x v="12"/>
    <s v="Løsgående, delvis spaltegulv"/>
    <x v="6"/>
    <n v="150107"/>
    <n v="151608"/>
    <n v="0"/>
    <s v="Svinegylle"/>
    <m/>
    <n v="4.7300000000000004"/>
    <n v="4.4999999999999998E-2"/>
    <n v="0"/>
    <m/>
    <m/>
    <n v="0"/>
    <n v="181"/>
    <n v="170.27999999999997"/>
    <n v="0"/>
    <n v="13.4"/>
    <n v="0.45"/>
    <n v="6.8794822799999986"/>
    <n v="0"/>
  </r>
  <r>
    <s v="Svin"/>
    <n v="1501"/>
    <s v="1 årsso m. 33,3 grise til 6,6 kg, andel fra løbe- og drægtighedsstald"/>
    <x v="12"/>
    <s v="Løsgående, dybstrøelse"/>
    <x v="0"/>
    <n v="150106"/>
    <n v="151607"/>
    <n v="0"/>
    <m/>
    <s v="Dybstrøelse"/>
    <m/>
    <m/>
    <n v="0"/>
    <n v="1.78"/>
    <n v="0.33"/>
    <n v="0"/>
    <n v="181"/>
    <n v="587.13567"/>
    <n v="0"/>
    <n v="14.7"/>
    <n v="0.45"/>
    <n v="26.022146462235003"/>
    <n v="0"/>
  </r>
  <r>
    <s v="Svin"/>
    <n v="1501"/>
    <s v="1 årsso m. 33,3 grise til 6,6 kg, andel fra løbe- og drægtighedsstald"/>
    <x v="12"/>
    <s v="Løsgående, dybstrøelse + fast gulv"/>
    <x v="0"/>
    <n v="150105"/>
    <n v="151606"/>
    <n v="0"/>
    <s v="Svinegylle"/>
    <m/>
    <n v="2.2000000000000002"/>
    <n v="5.5E-2"/>
    <n v="0"/>
    <m/>
    <m/>
    <n v="0"/>
    <n v="181"/>
    <n v="96.800000000000011"/>
    <n v="0"/>
    <n v="13.4"/>
    <n v="0.45"/>
    <n v="3.910816800000001"/>
    <n v="0"/>
  </r>
  <r>
    <s v="Svin"/>
    <n v="1501"/>
    <s v="1 årsso m. 33,3 grise til 6,6 kg, andel fra løbe- og drægtighedsstald"/>
    <x v="12"/>
    <s v="Løsgående, dybstrøelse + spaltegulv"/>
    <x v="0"/>
    <n v="150104"/>
    <n v="151605"/>
    <n v="0"/>
    <s v="Svinegylle"/>
    <m/>
    <n v="2.2000000000000002"/>
    <n v="5.5E-2"/>
    <n v="0"/>
    <m/>
    <m/>
    <n v="0"/>
    <n v="181"/>
    <n v="96.800000000000011"/>
    <n v="0"/>
    <n v="13.4"/>
    <n v="0.45"/>
    <n v="3.910816800000001"/>
    <n v="0"/>
  </r>
  <r>
    <s v="Svin"/>
    <m/>
    <s v="1 årsso m. 33,3 grise til 6,6 kg,andel fra løbe- og drægtighedsstald"/>
    <x v="12"/>
    <s v="Løsgående, dybstrøelse + fast gulv"/>
    <x v="0"/>
    <m/>
    <n v="0"/>
    <m/>
    <m/>
    <s v="Dybstrøelse"/>
    <m/>
    <m/>
    <n v="0"/>
    <n v="0.67"/>
    <n v="0.33"/>
    <n v="0"/>
    <n v="181"/>
    <n v="221.000505"/>
    <n v="0"/>
    <n v="14.7"/>
    <n v="0.45"/>
    <n v="9.7948528818525027"/>
    <n v="0"/>
  </r>
  <r>
    <s v="Svin"/>
    <m/>
    <s v="1 årsso m. 33,3 grise til 6,6 kg,andel fra løbe- og drægtighedsstald"/>
    <x v="12"/>
    <s v="Løsgående, dybstrøelse + spaltegulv"/>
    <x v="0"/>
    <m/>
    <n v="0"/>
    <m/>
    <m/>
    <s v="Dybstrøelse"/>
    <m/>
    <m/>
    <n v="0"/>
    <n v="0.67"/>
    <n v="0.33"/>
    <n v="0"/>
    <n v="181"/>
    <n v="221.000505"/>
    <n v="0"/>
    <n v="14.7"/>
    <n v="0.45"/>
    <n v="9.7948528818525027"/>
    <n v="0"/>
  </r>
  <r>
    <s v="Svin"/>
    <n v="1520"/>
    <s v="Antal producerede FRATS-svin"/>
    <x v="13"/>
    <s v="Delvis spaltegulv med 50-75% fast gulv"/>
    <x v="6"/>
    <n v="152002"/>
    <n v="153522"/>
    <n v="0"/>
    <s v="Svinegylle"/>
    <m/>
    <n v="0.56000000000000005"/>
    <n v="6.6000000000000003E-2"/>
    <n v="0"/>
    <n v="3.31"/>
    <n v="0.3"/>
    <n v="0"/>
    <n v="181"/>
    <n v="1022.1211500000001"/>
    <n v="0"/>
    <n v="13.4"/>
    <n v="0.45"/>
    <n v="41.294716581150006"/>
    <n v="0"/>
  </r>
  <r>
    <s v="Svin"/>
    <n v="1520"/>
    <s v="Antal producerede FRATS-svin"/>
    <x v="13"/>
    <s v="Delvis splategulv med 33-49% fast gulv"/>
    <x v="6"/>
    <n v="152003"/>
    <n v="153523"/>
    <n v="0"/>
    <s v="Svinegylle"/>
    <m/>
    <n v="0.56000000000000005"/>
    <n v="6.6000000000000003E-2"/>
    <n v="0"/>
    <n v="0.27374999999999999"/>
    <n v="0.85"/>
    <n v="0"/>
    <n v="181"/>
    <n v="262.15079062499996"/>
    <n v="0"/>
    <n v="13.4"/>
    <n v="0.45"/>
    <n v="10.591154092040625"/>
    <n v="0"/>
  </r>
  <r>
    <s v="Svin"/>
    <n v="1520"/>
    <s v="Antal producerede FRATS-svin"/>
    <x v="13"/>
    <s v="Drænet gulv + spalter (33/67)"/>
    <x v="6"/>
    <n v="152004"/>
    <n v="153524"/>
    <n v="0"/>
    <s v="Svinegylle"/>
    <m/>
    <n v="0.56000000000000005"/>
    <n v="6.0999999999999999E-2"/>
    <n v="0"/>
    <n v="3.31"/>
    <n v="0.3"/>
    <n v="0"/>
    <n v="181"/>
    <n v="1019.88115"/>
    <n v="0"/>
    <n v="13.7"/>
    <n v="0.45"/>
    <n v="42.126700841325004"/>
    <n v="0"/>
  </r>
  <r>
    <s v="Svin"/>
    <n v="1520"/>
    <s v="Antal producerede FRATS-svin"/>
    <x v="13"/>
    <s v="Dybstrøelse"/>
    <x v="0"/>
    <n v="152007"/>
    <n v="153527"/>
    <n v="0"/>
    <m/>
    <s v="Dybstrøelse"/>
    <m/>
    <m/>
    <n v="0"/>
    <n v="0.18"/>
    <n v="0.33"/>
    <n v="0"/>
    <n v="181"/>
    <n v="59.373269999999998"/>
    <n v="0"/>
    <n v="11.4"/>
    <n v="0.45"/>
    <n v="2.0407186631700003"/>
    <n v="0"/>
  </r>
  <r>
    <s v="Svin"/>
    <n v="1520"/>
    <s v="Antal producerede FRATS-svin"/>
    <x v="13"/>
    <s v="Dybstrøelse, opdelt lejeareal"/>
    <x v="0"/>
    <n v="152006"/>
    <n v="153526"/>
    <n v="0"/>
    <s v="Svinegylle"/>
    <m/>
    <n v="0.35"/>
    <n v="4.9000000000000002E-2"/>
    <n v="0"/>
    <m/>
    <m/>
    <n v="0"/>
    <n v="181"/>
    <n v="13.720000000000002"/>
    <n v="0"/>
    <n v="13.4"/>
    <n v="0.45"/>
    <n v="0.55430172000000022"/>
    <n v="0"/>
  </r>
  <r>
    <s v="Svin"/>
    <m/>
    <s v="Antal producerede FRATS-svin"/>
    <x v="13"/>
    <s v="Dybstrøelse, opdelt lejeareal"/>
    <x v="0"/>
    <m/>
    <n v="0"/>
    <m/>
    <m/>
    <s v="Dybstrøelse"/>
    <m/>
    <m/>
    <n v="0"/>
    <n v="0.09"/>
    <n v="0.33"/>
    <n v="0"/>
    <n v="181"/>
    <n v="29.686634999999999"/>
    <n v="0"/>
    <n v="14.7"/>
    <n v="0.45"/>
    <n v="1.3157265065175001"/>
    <n v="0"/>
  </r>
  <r>
    <s v="Svin"/>
    <n v="1520"/>
    <s v="Antal producerede FRATS-svin"/>
    <x v="13"/>
    <s v="Fast gulv"/>
    <x v="1"/>
    <n v="152005"/>
    <n v="153525"/>
    <n v="0"/>
    <s v="Fast gødning"/>
    <m/>
    <n v="0.11"/>
    <n v="0.23"/>
    <n v="0"/>
    <m/>
    <m/>
    <n v="0"/>
    <n v="181"/>
    <n v="20.239999999999998"/>
    <n v="0"/>
    <n v="2"/>
    <n v="0.45"/>
    <n v="0.12204720000000001"/>
    <n v="0"/>
  </r>
  <r>
    <s v="Svin"/>
    <m/>
    <s v="Antal producerede FRATS-svin"/>
    <x v="13"/>
    <s v="Fast gulv"/>
    <x v="1"/>
    <m/>
    <n v="0"/>
    <m/>
    <s v="Ajle"/>
    <m/>
    <n v="0.37"/>
    <n v="0.02"/>
    <n v="0"/>
    <m/>
    <m/>
    <n v="0"/>
    <n v="181"/>
    <n v="5.9200000000000008"/>
    <n v="0"/>
    <n v="13.4"/>
    <n v="0.45"/>
    <n v="0.23917392000000007"/>
    <n v="0"/>
  </r>
  <r>
    <s v="Svin"/>
    <n v="1512"/>
    <s v="Antal producerede slagtesvin, 31-110 kg"/>
    <x v="14"/>
    <s v="Delvis spaltegulv, 25-49% fast gulv"/>
    <x v="6"/>
    <n v="151208"/>
    <n v="152720"/>
    <n v="0"/>
    <s v="Svinegylle"/>
    <m/>
    <n v="0.55000000000000004"/>
    <n v="6.6000000000000003E-2"/>
    <n v="0"/>
    <m/>
    <m/>
    <n v="0"/>
    <n v="181"/>
    <n v="29.040000000000006"/>
    <n v="0"/>
    <n v="13.4"/>
    <n v="0.45"/>
    <n v="1.1732450400000003"/>
    <n v="0"/>
  </r>
  <r>
    <s v="Svin"/>
    <n v="1512"/>
    <s v="Antal producerede slagtesvin, 31-110 kg"/>
    <x v="14"/>
    <s v="Delvis spaltegulv, 50-75% fast gulv"/>
    <x v="6"/>
    <n v="151207"/>
    <n v="152719"/>
    <n v="0"/>
    <s v="Svinegylle"/>
    <m/>
    <n v="0.55000000000000004"/>
    <n v="6.6000000000000003E-2"/>
    <n v="0"/>
    <m/>
    <m/>
    <n v="0"/>
    <n v="181"/>
    <n v="29.040000000000006"/>
    <n v="0"/>
    <n v="13.4"/>
    <n v="0.45"/>
    <n v="1.1732450400000003"/>
    <n v="0"/>
  </r>
  <r>
    <s v="Svin"/>
    <n v="1512"/>
    <s v="Antal producerede slagtesvin, 31-110 kg"/>
    <x v="14"/>
    <s v="Drænet gulv + spalter (33/67)"/>
    <x v="6"/>
    <n v="151203"/>
    <n v="152715"/>
    <n v="0"/>
    <s v="Svinegylle"/>
    <m/>
    <n v="0.56000000000000005"/>
    <n v="6.0999999999999999E-2"/>
    <n v="0"/>
    <m/>
    <m/>
    <n v="0"/>
    <n v="181"/>
    <n v="27.327999999999999"/>
    <n v="0"/>
    <n v="13.7"/>
    <n v="0.45"/>
    <n v="1.128796704"/>
    <n v="0"/>
  </r>
  <r>
    <s v="Svin"/>
    <n v="1512"/>
    <s v="Antal producerede slagtesvin, 31-110 kg"/>
    <x v="14"/>
    <s v="Dybstrøelse"/>
    <x v="0"/>
    <n v="151206"/>
    <n v="152718"/>
    <n v="27.54"/>
    <m/>
    <s v="Dybstrøelse"/>
    <m/>
    <m/>
    <n v="0"/>
    <n v="0.18"/>
    <n v="0.33"/>
    <n v="0"/>
    <n v="181"/>
    <n v="59.373269999999998"/>
    <n v="0"/>
    <n v="11.4"/>
    <n v="0.45"/>
    <n v="2.0407186631700003"/>
    <n v="5.6201391983701804E-2"/>
  </r>
  <r>
    <s v="Svin"/>
    <n v="1512"/>
    <s v="Antal producerede slagtesvin, 31-110 kg"/>
    <x v="14"/>
    <s v="Dybstrøelse, opdelt lejeareal"/>
    <x v="0"/>
    <n v="151205"/>
    <n v="152717"/>
    <n v="0"/>
    <s v="Svinegylle"/>
    <m/>
    <n v="0.35"/>
    <n v="4.9000000000000002E-2"/>
    <n v="0"/>
    <m/>
    <m/>
    <n v="0"/>
    <n v="181"/>
    <n v="13.720000000000002"/>
    <n v="0"/>
    <n v="13.4"/>
    <n v="0.45"/>
    <n v="0.55430172000000022"/>
    <n v="0"/>
  </r>
  <r>
    <s v="Svin"/>
    <m/>
    <s v="Antal producerede slagtesvin, 31-110 kg"/>
    <x v="14"/>
    <s v="Dybstrøelse, opdelt lejeareal"/>
    <x v="0"/>
    <m/>
    <n v="0"/>
    <m/>
    <m/>
    <s v="Dybstrøelse"/>
    <m/>
    <m/>
    <n v="0"/>
    <n v="0.09"/>
    <n v="0.33"/>
    <n v="0"/>
    <n v="181"/>
    <n v="29.686634999999999"/>
    <n v="0"/>
    <n v="14.7"/>
    <n v="0.45"/>
    <n v="1.3157265065175001"/>
    <n v="0"/>
  </r>
  <r>
    <s v="Svin"/>
    <n v="1512"/>
    <s v="Antal producerede slagtesvin, 31-110 kg"/>
    <x v="14"/>
    <s v="Fast gulv"/>
    <x v="1"/>
    <n v="151204"/>
    <n v="152716"/>
    <n v="0"/>
    <s v="Fast gødning"/>
    <m/>
    <n v="0.1"/>
    <n v="0.23"/>
    <n v="0"/>
    <m/>
    <m/>
    <n v="0"/>
    <n v="181"/>
    <n v="18.400000000000002"/>
    <n v="0"/>
    <n v="2"/>
    <n v="0.45"/>
    <n v="0.11095200000000002"/>
    <n v="0"/>
  </r>
  <r>
    <s v="Svin"/>
    <m/>
    <s v="Antal producerede slagtesvin, 31-110 kg"/>
    <x v="14"/>
    <s v="Fast gulv"/>
    <x v="1"/>
    <m/>
    <n v="0"/>
    <m/>
    <m/>
    <s v="Ajle"/>
    <n v="0.36"/>
    <n v="0.02"/>
    <n v="0"/>
    <m/>
    <m/>
    <n v="0"/>
    <n v="181"/>
    <n v="5.7600000000000007"/>
    <n v="0"/>
    <n v="13.7"/>
    <n v="0.45"/>
    <n v="0.23791968000000002"/>
    <n v="0"/>
  </r>
  <r>
    <s v="Svin"/>
    <n v="1511"/>
    <s v="Antal producerede smågrise, fra 6,8 til 31 kg"/>
    <x v="15"/>
    <s v="Drænet gulv + spalter (50/50)"/>
    <x v="6"/>
    <n v="151103"/>
    <n v="152614"/>
    <n v="0"/>
    <s v="Svinegylle"/>
    <m/>
    <n v="0.13400000000000001"/>
    <n v="4.3999999999999997E-2"/>
    <n v="0"/>
    <m/>
    <m/>
    <n v="0"/>
    <n v="181"/>
    <n v="4.7168000000000001"/>
    <n v="0"/>
    <n v="13.7"/>
    <n v="0.45"/>
    <n v="0.19482978240000001"/>
    <n v="0"/>
  </r>
  <r>
    <s v="Svin"/>
    <n v="1511"/>
    <s v="Antal producerede smågrise, fra 6,8 til 31 kg"/>
    <x v="15"/>
    <s v="Dybstrøelse"/>
    <x v="0"/>
    <n v="151105"/>
    <n v="152616"/>
    <n v="27.54"/>
    <m/>
    <s v="Dybstrøelse"/>
    <m/>
    <m/>
    <n v="0"/>
    <n v="2.5999999999999999E-2"/>
    <n v="0.33"/>
    <n v="0"/>
    <n v="181"/>
    <n v="8.5761390000000013"/>
    <n v="0"/>
    <n v="7.2"/>
    <n v="0.45"/>
    <n v="0.18617082541200003"/>
    <n v="5.1271445318464811E-3"/>
  </r>
  <r>
    <s v="Svin"/>
    <n v="1511"/>
    <s v="Antal producerede smågrise, fra 6,8 til 31 kg"/>
    <x v="15"/>
    <s v="Fast gulv"/>
    <x v="1"/>
    <n v="151104"/>
    <n v="152615"/>
    <n v="0"/>
    <s v="Fast gødning"/>
    <m/>
    <n v="1.7999999999999999E-2"/>
    <n v="0.23"/>
    <n v="0"/>
    <m/>
    <m/>
    <n v="0"/>
    <n v="181"/>
    <n v="3.3119999999999998"/>
    <n v="0"/>
    <n v="2"/>
    <n v="0.45"/>
    <n v="1.9971360000000001E-2"/>
    <n v="0"/>
  </r>
  <r>
    <s v="Svin"/>
    <m/>
    <s v="Antal producerede smågrise, fra 6,8 til 31 kg"/>
    <x v="15"/>
    <s v="Fast gulv"/>
    <x v="1"/>
    <m/>
    <n v="0"/>
    <m/>
    <m/>
    <s v="Ajle"/>
    <m/>
    <m/>
    <n v="0"/>
    <n v="7.2999999999999995E-2"/>
    <n v="1.9E-2"/>
    <n v="0"/>
    <n v="181"/>
    <n v="1.3863758500000001"/>
    <n v="0"/>
    <n v="13.7"/>
    <n v="0.45"/>
    <n v="5.7264947672175007E-2"/>
    <n v="0"/>
  </r>
  <r>
    <s v="Svin"/>
    <n v="1511"/>
    <s v="Antal producerede smågrise, fra 6,8 til 31 kg"/>
    <x v="15"/>
    <s v="Toklimastald, delvis spaltegulv"/>
    <x v="6"/>
    <n v="151101"/>
    <n v="152612"/>
    <n v="0"/>
    <s v="Svinegylle"/>
    <m/>
    <n v="0.13400000000000001"/>
    <n v="0.05"/>
    <n v="0"/>
    <m/>
    <m/>
    <n v="0"/>
    <n v="181"/>
    <n v="5.36"/>
    <n v="0"/>
    <n v="13.7"/>
    <n v="0.45"/>
    <n v="0.22139748000000001"/>
    <n v="0"/>
  </r>
  <r>
    <s v="Ænder"/>
    <n v="3500"/>
    <s v="Ænder, produktionstid 52 dage "/>
    <x v="0"/>
    <s v="Ænder, produktionstid 52 dage"/>
    <x v="2"/>
    <n v="350001"/>
    <n v="353501"/>
    <n v="0"/>
    <m/>
    <s v="Dybstrøelse"/>
    <m/>
    <m/>
    <n v="0"/>
    <n v="0.01"/>
    <n v="0.35"/>
    <n v="0"/>
    <n v="0"/>
    <n v="3.4984249999999997"/>
    <n v="0"/>
    <n v="1.5"/>
    <n v="0.36"/>
    <n v="1.2657301650000001E-2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AD9327-B3F1-4AD2-9FA3-67D24967B410}" name="Pivottabel3" cacheId="0" applyNumberFormats="0" applyBorderFormats="0" applyFontFormats="0" applyPatternFormats="0" applyAlignmentFormats="0" applyWidthHeightFormats="1" dataCaption="Værdier" updatedVersion="6" minRefreshableVersion="3" useAutoFormatting="1" itemPrintTitles="1" createdVersion="6" indent="0" outline="1" outlineData="1" multipleFieldFilters="0">
  <location ref="A17:R26" firstHeaderRow="1" firstDataRow="2" firstDataCol="1"/>
  <pivotFields count="24">
    <pivotField showAll="0"/>
    <pivotField showAll="0"/>
    <pivotField showAll="0"/>
    <pivotField axis="axisCol" showAll="0">
      <items count="19">
        <item x="7"/>
        <item m="1" x="17"/>
        <item m="1" x="16"/>
        <item x="4"/>
        <item x="0"/>
        <item x="13"/>
        <item x="1"/>
        <item x="2"/>
        <item x="3"/>
        <item x="9"/>
        <item x="11"/>
        <item x="14"/>
        <item n="Slagtekalve 0-6 mdr. " x="5"/>
        <item n="Slagtekalve 6 mdr. " x="6"/>
        <item x="15"/>
        <item x="10"/>
        <item x="8"/>
        <item x="12"/>
        <item t="default"/>
      </items>
    </pivotField>
    <pivotField showAll="0"/>
    <pivotField axis="axisRow" showAll="0">
      <items count="8">
        <item x="4"/>
        <item x="0"/>
        <item x="3"/>
        <item x="1"/>
        <item x="2"/>
        <item x="6"/>
        <item x="5"/>
        <item t="default"/>
      </items>
    </pivotField>
    <pivotField showAll="0"/>
    <pivotField showAll="0"/>
    <pivotField numFmtId="3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showAll="0"/>
    <pivotField dataField="1"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3"/>
  </colFields>
  <colItems count="17">
    <i>
      <x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dataFields count="1">
    <dataField name="Sum af Total udledning af CH4 (ton) 2018" fld="23" baseField="5" baseItem="3"/>
  </dataFields>
  <formats count="43">
    <format dxfId="70">
      <pivotArea type="all" dataOnly="0" outline="0" fieldPosition="0"/>
    </format>
    <format dxfId="69">
      <pivotArea outline="0" collapsedLevelsAreSubtotals="1" fieldPosition="0"/>
    </format>
    <format dxfId="68">
      <pivotArea type="origin" dataOnly="0" labelOnly="1" outline="0" fieldPosition="0"/>
    </format>
    <format dxfId="67">
      <pivotArea field="3" type="button" dataOnly="0" labelOnly="1" outline="0" axis="axisCol" fieldPosition="0"/>
    </format>
    <format dxfId="66">
      <pivotArea type="topRight" dataOnly="0" labelOnly="1" outline="0" fieldPosition="0"/>
    </format>
    <format dxfId="65">
      <pivotArea field="5" type="button" dataOnly="0" labelOnly="1" outline="0" axis="axisRow" fieldPosition="0"/>
    </format>
    <format dxfId="64">
      <pivotArea dataOnly="0" labelOnly="1" fieldPosition="0">
        <references count="1">
          <reference field="5" count="0"/>
        </references>
      </pivotArea>
    </format>
    <format dxfId="63">
      <pivotArea dataOnly="0" labelOnly="1" grandRow="1" outline="0" fieldPosition="0"/>
    </format>
    <format dxfId="62">
      <pivotArea dataOnly="0" labelOnly="1" fieldPosition="0">
        <references count="1">
          <reference field="3" count="0"/>
        </references>
      </pivotArea>
    </format>
    <format dxfId="61">
      <pivotArea dataOnly="0" labelOnly="1" grandCol="1" outline="0" fieldPosition="0"/>
    </format>
    <format dxfId="60">
      <pivotArea type="all" dataOnly="0" outline="0" fieldPosition="0"/>
    </format>
    <format dxfId="59">
      <pivotArea outline="0" collapsedLevelsAreSubtotals="1" fieldPosition="0"/>
    </format>
    <format dxfId="58">
      <pivotArea type="origin" dataOnly="0" labelOnly="1" outline="0" fieldPosition="0"/>
    </format>
    <format dxfId="57">
      <pivotArea field="3" type="button" dataOnly="0" labelOnly="1" outline="0" axis="axisCol" fieldPosition="0"/>
    </format>
    <format dxfId="56">
      <pivotArea type="topRight" dataOnly="0" labelOnly="1" outline="0" fieldPosition="0"/>
    </format>
    <format dxfId="55">
      <pivotArea field="5" type="button" dataOnly="0" labelOnly="1" outline="0" axis="axisRow" fieldPosition="0"/>
    </format>
    <format dxfId="54">
      <pivotArea dataOnly="0" labelOnly="1" fieldPosition="0">
        <references count="1">
          <reference field="5" count="0"/>
        </references>
      </pivotArea>
    </format>
    <format dxfId="53">
      <pivotArea dataOnly="0" labelOnly="1" grandRow="1" outline="0" fieldPosition="0"/>
    </format>
    <format dxfId="52">
      <pivotArea dataOnly="0" labelOnly="1" fieldPosition="0">
        <references count="1">
          <reference field="3" count="0"/>
        </references>
      </pivotArea>
    </format>
    <format dxfId="51">
      <pivotArea dataOnly="0" labelOnly="1" grandCol="1" outline="0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type="origin" dataOnly="0" labelOnly="1" outline="0" fieldPosition="0"/>
    </format>
    <format dxfId="47">
      <pivotArea field="3" type="button" dataOnly="0" labelOnly="1" outline="0" axis="axisCol" fieldPosition="0"/>
    </format>
    <format dxfId="46">
      <pivotArea type="topRight" dataOnly="0" labelOnly="1" outline="0" fieldPosition="0"/>
    </format>
    <format dxfId="45">
      <pivotArea field="5" type="button" dataOnly="0" labelOnly="1" outline="0" axis="axisRow" fieldPosition="0"/>
    </format>
    <format dxfId="44">
      <pivotArea dataOnly="0" labelOnly="1" fieldPosition="0">
        <references count="1">
          <reference field="5" count="0"/>
        </references>
      </pivotArea>
    </format>
    <format dxfId="43">
      <pivotArea dataOnly="0" labelOnly="1" grandRow="1" outline="0" fieldPosition="0"/>
    </format>
    <format dxfId="42">
      <pivotArea dataOnly="0" labelOnly="1" fieldPosition="0">
        <references count="1">
          <reference field="3" count="0"/>
        </references>
      </pivotArea>
    </format>
    <format dxfId="41">
      <pivotArea dataOnly="0" labelOnly="1" grandCol="1" outline="0" fieldPosition="0"/>
    </format>
    <format dxfId="40">
      <pivotArea grandRow="1" outline="0" collapsedLevelsAreSubtotals="1" fieldPosition="0"/>
    </format>
    <format dxfId="39">
      <pivotArea collapsedLevelsAreSubtotals="1" fieldPosition="0">
        <references count="1">
          <reference field="5" count="0"/>
        </references>
      </pivotArea>
    </format>
    <format dxfId="38">
      <pivotArea field="5" grandCol="1" collapsedLevelsAreSubtotals="1" axis="axisRow" fieldPosition="0">
        <references count="1">
          <reference field="5" count="0"/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type="origin" dataOnly="0" labelOnly="1" outline="0" fieldPosition="0"/>
    </format>
    <format dxfId="34">
      <pivotArea field="3" type="button" dataOnly="0" labelOnly="1" outline="0" axis="axisCol" fieldPosition="0"/>
    </format>
    <format dxfId="33">
      <pivotArea type="topRight" dataOnly="0" labelOnly="1" outline="0" fieldPosition="0"/>
    </format>
    <format dxfId="32">
      <pivotArea field="5" type="button" dataOnly="0" labelOnly="1" outline="0" axis="axisRow" fieldPosition="0"/>
    </format>
    <format dxfId="31">
      <pivotArea dataOnly="0" labelOnly="1" fieldPosition="0">
        <references count="1">
          <reference field="5" count="0"/>
        </references>
      </pivotArea>
    </format>
    <format dxfId="30">
      <pivotArea dataOnly="0" labelOnly="1" grandRow="1" outline="0" fieldPosition="0"/>
    </format>
    <format dxfId="29">
      <pivotArea dataOnly="0" labelOnly="1" fieldPosition="0">
        <references count="1">
          <reference field="3" count="0"/>
        </references>
      </pivotArea>
    </format>
    <format dxfId="2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03DB58-4B37-4055-A0B9-28A8A0BE6A15}" name="Pivottabel1" cacheId="0" applyNumberFormats="0" applyBorderFormats="0" applyFontFormats="0" applyPatternFormats="0" applyAlignmentFormats="0" applyWidthHeightFormats="1" dataCaption="Værdier" updatedVersion="6" minRefreshableVersion="3" useAutoFormatting="1" itemPrintTitles="1" createdVersion="6" indent="0" outline="1" outlineData="1" multipleFieldFilters="0">
  <location ref="A5:R14" firstHeaderRow="1" firstDataRow="2" firstDataCol="1"/>
  <pivotFields count="24">
    <pivotField showAll="0"/>
    <pivotField showAll="0"/>
    <pivotField showAll="0"/>
    <pivotField axis="axisCol" showAll="0">
      <items count="19">
        <item x="7"/>
        <item m="1" x="17"/>
        <item m="1" x="16"/>
        <item x="4"/>
        <item x="0"/>
        <item x="13"/>
        <item x="1"/>
        <item x="2"/>
        <item x="3"/>
        <item x="9"/>
        <item x="11"/>
        <item x="14"/>
        <item n="Slagtekalve 0-6 mdr. " x="5"/>
        <item n="Slagtekalve 6 mdr. " x="6"/>
        <item x="15"/>
        <item x="10"/>
        <item x="8"/>
        <item x="12"/>
        <item t="default"/>
      </items>
    </pivotField>
    <pivotField showAll="0"/>
    <pivotField axis="axisRow" showAll="0">
      <items count="8">
        <item x="4"/>
        <item x="0"/>
        <item x="3"/>
        <item x="1"/>
        <item x="2"/>
        <item x="6"/>
        <item x="5"/>
        <item t="default"/>
      </items>
    </pivotField>
    <pivotField showAll="0"/>
    <pivotField showAll="0"/>
    <pivotField dataField="1" numFmtId="3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showAll="0"/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3"/>
  </colFields>
  <colItems count="17">
    <i>
      <x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dataFields count="1">
    <dataField name="Sum af Antal dyr i Kommunen 2018" fld="8" baseField="0" baseItem="0"/>
  </dataFields>
  <formats count="43">
    <format dxfId="113">
      <pivotArea outline="0" collapsedLevelsAreSubtotals="1" fieldPosition="0"/>
    </format>
    <format dxfId="112">
      <pivotArea dataOnly="0" labelOnly="1" fieldPosition="0">
        <references count="1">
          <reference field="5" count="0"/>
        </references>
      </pivotArea>
    </format>
    <format dxfId="111">
      <pivotArea dataOnly="0" labelOnly="1" grandRow="1" outline="0" fieldPosition="0"/>
    </format>
    <format dxfId="110">
      <pivotArea type="all" dataOnly="0" outline="0" fieldPosition="0"/>
    </format>
    <format dxfId="109">
      <pivotArea outline="0" collapsedLevelsAreSubtotals="1" fieldPosition="0"/>
    </format>
    <format dxfId="108">
      <pivotArea type="origin" dataOnly="0" labelOnly="1" outline="0" fieldPosition="0"/>
    </format>
    <format dxfId="107">
      <pivotArea field="3" type="button" dataOnly="0" labelOnly="1" outline="0" axis="axisCol" fieldPosition="0"/>
    </format>
    <format dxfId="106">
      <pivotArea type="topRight" dataOnly="0" labelOnly="1" outline="0" fieldPosition="0"/>
    </format>
    <format dxfId="105">
      <pivotArea field="5" type="button" dataOnly="0" labelOnly="1" outline="0" axis="axisRow" fieldPosition="0"/>
    </format>
    <format dxfId="104">
      <pivotArea dataOnly="0" labelOnly="1" fieldPosition="0">
        <references count="1">
          <reference field="5" count="0"/>
        </references>
      </pivotArea>
    </format>
    <format dxfId="103">
      <pivotArea dataOnly="0" labelOnly="1" grandRow="1" outline="0" fieldPosition="0"/>
    </format>
    <format dxfId="102">
      <pivotArea dataOnly="0" labelOnly="1" fieldPosition="0">
        <references count="1">
          <reference field="3" count="0"/>
        </references>
      </pivotArea>
    </format>
    <format dxfId="101">
      <pivotArea dataOnly="0" labelOnly="1" grandCol="1" outline="0" fieldPosition="0"/>
    </format>
    <format dxfId="100">
      <pivotArea type="all" dataOnly="0" outline="0" fieldPosition="0"/>
    </format>
    <format dxfId="99">
      <pivotArea type="origin" dataOnly="0" labelOnly="1" outline="0" fieldPosition="0"/>
    </format>
    <format dxfId="98">
      <pivotArea field="3" type="button" dataOnly="0" labelOnly="1" outline="0" axis="axisCol" fieldPosition="0"/>
    </format>
    <format dxfId="97">
      <pivotArea type="topRight" dataOnly="0" labelOnly="1" outline="0" fieldPosition="0"/>
    </format>
    <format dxfId="96">
      <pivotArea outline="0" collapsedLevelsAreSubtotals="1" fieldPosition="0"/>
    </format>
    <format dxfId="95">
      <pivotArea field="5" type="button" dataOnly="0" labelOnly="1" outline="0" axis="axisRow" fieldPosition="0"/>
    </format>
    <format dxfId="94">
      <pivotArea dataOnly="0" labelOnly="1" fieldPosition="0">
        <references count="1">
          <reference field="5" count="0"/>
        </references>
      </pivotArea>
    </format>
    <format dxfId="93">
      <pivotArea dataOnly="0" labelOnly="1" grandRow="1" outline="0" fieldPosition="0"/>
    </format>
    <format dxfId="92">
      <pivotArea dataOnly="0" labelOnly="1" fieldPosition="0">
        <references count="1">
          <reference field="3" count="0"/>
        </references>
      </pivotArea>
    </format>
    <format dxfId="91">
      <pivotArea dataOnly="0" labelOnly="1" grandCol="1" outline="0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type="origin" dataOnly="0" labelOnly="1" outline="0" fieldPosition="0"/>
    </format>
    <format dxfId="87">
      <pivotArea field="3" type="button" dataOnly="0" labelOnly="1" outline="0" axis="axisCol" fieldPosition="0"/>
    </format>
    <format dxfId="86">
      <pivotArea type="topRight" dataOnly="0" labelOnly="1" outline="0" fieldPosition="0"/>
    </format>
    <format dxfId="85">
      <pivotArea field="5" type="button" dataOnly="0" labelOnly="1" outline="0" axis="axisRow" fieldPosition="0"/>
    </format>
    <format dxfId="84">
      <pivotArea dataOnly="0" labelOnly="1" fieldPosition="0">
        <references count="1">
          <reference field="5" count="0"/>
        </references>
      </pivotArea>
    </format>
    <format dxfId="83">
      <pivotArea dataOnly="0" labelOnly="1" grandRow="1" outline="0" fieldPosition="0"/>
    </format>
    <format dxfId="82">
      <pivotArea dataOnly="0" labelOnly="1" fieldPosition="0">
        <references count="1">
          <reference field="3" count="0"/>
        </references>
      </pivotArea>
    </format>
    <format dxfId="81">
      <pivotArea dataOnly="0" labelOnly="1" grandCol="1" outline="0" fieldPosition="0"/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type="origin" dataOnly="0" labelOnly="1" outline="0" fieldPosition="0"/>
    </format>
    <format dxfId="77">
      <pivotArea field="3" type="button" dataOnly="0" labelOnly="1" outline="0" axis="axisCol" fieldPosition="0"/>
    </format>
    <format dxfId="76">
      <pivotArea type="topRight" dataOnly="0" labelOnly="1" outline="0" fieldPosition="0"/>
    </format>
    <format dxfId="75">
      <pivotArea field="5" type="button" dataOnly="0" labelOnly="1" outline="0" axis="axisRow" fieldPosition="0"/>
    </format>
    <format dxfId="74">
      <pivotArea dataOnly="0" labelOnly="1" fieldPosition="0">
        <references count="1">
          <reference field="5" count="0"/>
        </references>
      </pivotArea>
    </format>
    <format dxfId="73">
      <pivotArea dataOnly="0" labelOnly="1" grandRow="1" outline="0" fieldPosition="0"/>
    </format>
    <format dxfId="72">
      <pivotArea dataOnly="0" labelOnly="1" fieldPosition="0">
        <references count="1">
          <reference field="3" count="0"/>
        </references>
      </pivotArea>
    </format>
    <format dxfId="7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F3B2C1-9CF1-42EA-A13F-5E763E74F6C3}" name="Tabel1" displayName="Tabel1" ref="A6:X270" totalsRowShown="0" headerRowDxfId="27" headerRowBorderDxfId="26" tableBorderDxfId="25" totalsRowBorderDxfId="24">
  <autoFilter ref="A6:X270" xr:uid="{CB55E150-824C-41D2-A5B0-93C9930658FF}">
    <filterColumn colId="0">
      <filters>
        <filter val="Mink"/>
      </filters>
    </filterColumn>
  </autoFilter>
  <sortState xmlns:xlrd2="http://schemas.microsoft.com/office/spreadsheetml/2017/richdata2" ref="A7:X270">
    <sortCondition ref="A6:A270"/>
  </sortState>
  <tableColumns count="24">
    <tableColumn id="1" xr3:uid="{329BE270-2279-4D9B-8A5E-3EC0C369186D}" name="Dyrekatagori" dataDxfId="23"/>
    <tableColumn id="21" xr3:uid="{45915179-3B24-4F3D-AC5F-42FF31168449}" name="Dyr_Kode" dataDxfId="22"/>
    <tableColumn id="2" xr3:uid="{5F1F901D-DCEE-4A4A-A96E-606FDFF869ED}" name="Dyretyper" dataDxfId="21"/>
    <tableColumn id="3" xr3:uid="{2265DEDB-8C99-45F2-A7A0-BE573A4FF374}" name="Fordeling af dyrtyper" dataDxfId="20"/>
    <tableColumn id="4" xr3:uid="{A8BAB940-3540-4E19-B843-711D92EFD796}" name="Staldtype" dataDxfId="19"/>
    <tableColumn id="5" xr3:uid="{67F4A3F7-676B-420A-9A4E-B29EB3065A2F}" name="Staldtype fordeling" dataDxfId="18"/>
    <tableColumn id="23" xr3:uid="{084A71CE-E055-464A-A7AC-8282A8DEC84A}" name="Stald_kode" dataDxfId="17"/>
    <tableColumn id="24" xr3:uid="{6AF82D04-7498-449B-974C-1B650CBDE4E8}" name="Kode_stald+dyr" dataDxfId="16">
      <calculatedColumnFormula>Tabel1[[#This Row],[Stald_kode]]+Tabel1[[#This Row],[Dyr_Kode]]</calculatedColumnFormula>
    </tableColumn>
    <tableColumn id="6" xr3:uid="{B9D040A4-E287-494F-8573-2436FF0C4946}" name="Antal dyr i Kommunen 2018" dataDxfId="15"/>
    <tableColumn id="7" xr3:uid="{72CCDA45-894E-42FD-9868-A04B89AE2BDD}" name="Gødningstype" dataDxfId="14"/>
    <tableColumn id="8" xr3:uid="{9D789DE8-89FA-49A0-A9F6-7B469396B2A3}" name="Strøelsestype" dataDxfId="13"/>
    <tableColumn id="9" xr3:uid="{31BC1776-EA31-45FF-AD2D-79B85E1AB115}" name="Gødning (g) pr. dyr (ton)" dataDxfId="12"/>
    <tableColumn id="10" xr3:uid="{3834CFFA-6159-431F-A698-F0E1721824A6}" name="Tørstof %" dataDxfId="11"/>
    <tableColumn id="22" xr3:uid="{486F4028-3313-4169-876E-9F3D5C243A8E}" name="Gødning (g) total (ton)" dataDxfId="10">
      <calculatedColumnFormula>Tabel1[[#This Row],[Antal dyr i Kommunen 2018]]*Tabel1[[#This Row],[Gødning (g) pr. dyr (ton)]]</calculatedColumnFormula>
    </tableColumn>
    <tableColumn id="11" xr3:uid="{CA04A2B2-F9FA-4E18-B394-EB1DE1C9940E}" name="Gødning (s) pr. dyr (ton)" dataDxfId="9"/>
    <tableColumn id="12" xr3:uid="{E4984666-C351-4F1D-A623-C9D8B359ACF9}" name="Tørstof %2" dataDxfId="8"/>
    <tableColumn id="13" xr3:uid="{1E7A2F92-AC4D-400B-B770-1E3C81633AE6}" name="Dage på græs, Konventionel" dataDxfId="7"/>
    <tableColumn id="14" xr3:uid="{0874D8D4-88D7-4ABE-80DC-9ABE4D4F712B}" name="Dage på græs, Økologisk" dataDxfId="6"/>
    <tableColumn id="15" xr3:uid="{F1D97F06-BDD6-495F-BFDD-E1616828518D}" name="VS_housing" dataDxfId="5">
      <calculatedColumnFormula>(L7*1000)/365*M7*(365-Q7)*0.8+(O7*1000)/365*P7*(365-Q7)*(1-0.045/100)</calculatedColumnFormula>
    </tableColumn>
    <tableColumn id="16" xr3:uid="{81EE3206-2FA5-487B-8674-CC6C8EE8D89B}" name="VS_grazing" dataDxfId="4">
      <calculatedColumnFormula>(L7*1000)/365*M7*0.8*Q7</calculatedColumnFormula>
    </tableColumn>
    <tableColumn id="17" xr3:uid="{C2A325D6-D54A-430A-B565-E086B7EDCB79}" name="MCF %" dataDxfId="3"/>
    <tableColumn id="18" xr3:uid="{B77FE8F2-B64B-4245-87DF-B6A042EE9342}" name="B0" dataDxfId="2"/>
    <tableColumn id="19" xr3:uid="{40E2D8E9-C8E2-4823-9548-3944E364D705}" name="CH4 pr. dyr (Kg)" dataDxfId="1">
      <calculatedColumnFormula>(S7*U7/100*0.67*V7)+(T7*U7/100*0.67*V7)</calculatedColumnFormula>
    </tableColumn>
    <tableColumn id="20" xr3:uid="{7ADF38D7-8177-4BF7-B207-C1A114E6814E}" name="Total udledning af CH4 (ton) 2018" dataDxfId="0">
      <calculatedColumnFormula>W7*I7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49" dT="2019-11-05T12:55:17.59" personId="{00000000-0000-0000-0000-000000000000}" id="{B8E7AAB4-B401-4EB1-AB5C-9AD364280EA2}">
    <text>Har fået tons gødning og tørstofprocent som slagtesvin</text>
  </threadedComment>
  <threadedComment ref="C250" dT="2019-11-05T12:55:22.32" personId="{00000000-0000-0000-0000-000000000000}" id="{1CF981BE-70D5-42C3-966C-BF15F189DAFF}">
    <text>Har fået tons gødning og tørstofprocent som slagtesvin</text>
  </threadedComment>
  <threadedComment ref="C251" dT="2019-11-05T12:55:26.03" personId="{00000000-0000-0000-0000-000000000000}" id="{035EE1E6-D8FC-4BFC-9D3F-36BF566D9D9F}">
    <text>Har fået tons gødning og tørstofprocent som slagtesvin</text>
  </threadedComment>
  <threadedComment ref="C252" dT="2019-11-05T12:55:30.28" personId="{00000000-0000-0000-0000-000000000000}" id="{8B68DF5C-69E8-4862-8106-82C92F2C10AA}">
    <text>Har fået tons gødning og tørstofprocent som slagtesvin</text>
  </threadedComment>
  <threadedComment ref="C253" dT="2019-11-05T12:55:36.07" personId="{00000000-0000-0000-0000-000000000000}" id="{7768C062-7765-41BA-832F-7614E117C954}">
    <text>Har fået tons gødning og tørstofprocent som slagtesvin</text>
  </threadedComment>
  <threadedComment ref="C254" dT="2019-11-05T12:55:41.41" personId="{00000000-0000-0000-0000-000000000000}" id="{D1601295-D762-4A64-8A0B-BDC7284314E5}">
    <text>Har fået tons gødning og tørstofprocent som slagtesvin</text>
  </threadedComment>
  <threadedComment ref="C255" dT="2019-11-05T12:55:46.40" personId="{00000000-0000-0000-0000-000000000000}" id="{D13E86D9-F320-4367-BC93-19279A6EA513}">
    <text>Har fået tons gødning og tørstofprocent som slagtesvin</text>
  </threadedComment>
  <threadedComment ref="C256" dT="2019-11-05T12:55:50.81" personId="{00000000-0000-0000-0000-000000000000}" id="{720BD701-CB2A-4AD6-BE35-D145D71FCEE6}">
    <text>Har fået tons gødning og tørstofprocent som slagtesvin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EF29C-E6B3-4214-A4C0-EAC5F2F3478B}">
  <dimension ref="A1:T26"/>
  <sheetViews>
    <sheetView zoomScale="85" zoomScaleNormal="85" workbookViewId="0">
      <selection activeCell="A18" sqref="A18"/>
    </sheetView>
  </sheetViews>
  <sheetFormatPr defaultColWidth="9.140625" defaultRowHeight="15" x14ac:dyDescent="0.25"/>
  <cols>
    <col min="1" max="1" width="32.28515625" style="30" bestFit="1" customWidth="1"/>
    <col min="2" max="2" width="19.7109375" style="30" bestFit="1" customWidth="1"/>
    <col min="3" max="3" width="7.140625" style="30" bestFit="1" customWidth="1"/>
    <col min="4" max="4" width="7.85546875" style="30" bestFit="1" customWidth="1"/>
    <col min="5" max="5" width="10.85546875" style="30" bestFit="1" customWidth="1"/>
    <col min="6" max="6" width="10.7109375" style="30" bestFit="1" customWidth="1"/>
    <col min="7" max="7" width="6.140625" style="30" bestFit="1" customWidth="1"/>
    <col min="8" max="8" width="8.28515625" style="30" bestFit="1" customWidth="1"/>
    <col min="9" max="9" width="5.5703125" style="30" bestFit="1" customWidth="1"/>
    <col min="10" max="10" width="7.5703125" style="30" bestFit="1" customWidth="1"/>
    <col min="11" max="11" width="7.28515625" style="30" bestFit="1" customWidth="1"/>
    <col min="12" max="12" width="20.28515625" style="30" bestFit="1" customWidth="1"/>
    <col min="13" max="13" width="18.5703125" style="30" bestFit="1" customWidth="1"/>
    <col min="14" max="14" width="9" style="30" bestFit="1" customWidth="1"/>
    <col min="15" max="15" width="9.42578125" style="30" bestFit="1" customWidth="1"/>
    <col min="16" max="16" width="17.5703125" style="30" bestFit="1" customWidth="1"/>
    <col min="17" max="17" width="5.85546875" style="30" bestFit="1" customWidth="1"/>
    <col min="18" max="18" width="10.85546875" style="30" bestFit="1" customWidth="1"/>
    <col min="19" max="19" width="32.28515625" style="30" bestFit="1" customWidth="1"/>
    <col min="20" max="20" width="38.42578125" style="30" bestFit="1" customWidth="1"/>
    <col min="21" max="21" width="32.28515625" style="30" bestFit="1" customWidth="1"/>
    <col min="22" max="22" width="38.42578125" style="30" bestFit="1" customWidth="1"/>
    <col min="23" max="23" width="32.28515625" style="30" bestFit="1" customWidth="1"/>
    <col min="24" max="24" width="38.42578125" style="30" bestFit="1" customWidth="1"/>
    <col min="25" max="25" width="32.28515625" style="30" bestFit="1" customWidth="1"/>
    <col min="26" max="26" width="38.42578125" style="30" bestFit="1" customWidth="1"/>
    <col min="27" max="27" width="32.28515625" style="30" bestFit="1" customWidth="1"/>
    <col min="28" max="28" width="38.42578125" style="30" bestFit="1" customWidth="1"/>
    <col min="29" max="29" width="32.28515625" style="30" bestFit="1" customWidth="1"/>
    <col min="30" max="30" width="38.42578125" style="30" bestFit="1" customWidth="1"/>
    <col min="31" max="31" width="32.28515625" style="30" bestFit="1" customWidth="1"/>
    <col min="32" max="32" width="38.42578125" style="30" bestFit="1" customWidth="1"/>
    <col min="33" max="33" width="32.28515625" style="30" bestFit="1" customWidth="1"/>
    <col min="34" max="34" width="43.42578125" style="30" bestFit="1" customWidth="1"/>
    <col min="35" max="35" width="37.28515625" style="30" bestFit="1" customWidth="1"/>
    <col min="36" max="42" width="12" style="30" bestFit="1" customWidth="1"/>
    <col min="43" max="43" width="11" style="30" bestFit="1" customWidth="1"/>
    <col min="44" max="44" width="12" style="30" bestFit="1" customWidth="1"/>
    <col min="45" max="45" width="6" style="30" bestFit="1" customWidth="1"/>
    <col min="46" max="46" width="10.42578125" style="30" bestFit="1" customWidth="1"/>
    <col min="47" max="47" width="9.42578125" style="30" bestFit="1" customWidth="1"/>
    <col min="48" max="48" width="4.5703125" style="30" bestFit="1" customWidth="1"/>
    <col min="49" max="49" width="12.42578125" style="30" bestFit="1" customWidth="1"/>
    <col min="50" max="50" width="9.140625" style="30"/>
    <col min="51" max="51" width="9" style="30" bestFit="1" customWidth="1"/>
    <col min="52" max="53" width="12" style="30" bestFit="1" customWidth="1"/>
    <col min="54" max="54" width="6" style="30" bestFit="1" customWidth="1"/>
    <col min="55" max="55" width="12.140625" style="30" bestFit="1" customWidth="1"/>
    <col min="56" max="56" width="22.140625" style="30" bestFit="1" customWidth="1"/>
    <col min="57" max="58" width="12" style="30" bestFit="1" customWidth="1"/>
    <col min="59" max="59" width="25.28515625" style="30" bestFit="1" customWidth="1"/>
    <col min="60" max="60" width="20.42578125" style="30" bestFit="1" customWidth="1"/>
    <col min="61" max="61" width="12" style="30" bestFit="1" customWidth="1"/>
    <col min="62" max="62" width="11" style="30" bestFit="1" customWidth="1"/>
    <col min="63" max="66" width="12" style="30" bestFit="1" customWidth="1"/>
    <col min="67" max="67" width="6" style="30" bestFit="1" customWidth="1"/>
    <col min="68" max="68" width="23.5703125" style="30" bestFit="1" customWidth="1"/>
    <col min="69" max="69" width="10.85546875" style="30" bestFit="1" customWidth="1"/>
    <col min="70" max="70" width="10" style="30" bestFit="1" customWidth="1"/>
    <col min="71" max="72" width="12" style="30" bestFit="1" customWidth="1"/>
    <col min="73" max="73" width="14" style="30" bestFit="1" customWidth="1"/>
    <col min="74" max="74" width="11.28515625" style="30" bestFit="1" customWidth="1"/>
    <col min="75" max="77" width="12" style="30" bestFit="1" customWidth="1"/>
    <col min="78" max="78" width="14.42578125" style="30" bestFit="1" customWidth="1"/>
    <col min="79" max="79" width="19.42578125" style="30" bestFit="1" customWidth="1"/>
    <col min="80" max="83" width="12" style="30" bestFit="1" customWidth="1"/>
    <col min="84" max="84" width="6" style="30" bestFit="1" customWidth="1"/>
    <col min="85" max="85" width="22.5703125" style="30" bestFit="1" customWidth="1"/>
    <col min="86" max="86" width="7.7109375" style="30" bestFit="1" customWidth="1"/>
    <col min="87" max="87" width="10" style="30" bestFit="1" customWidth="1"/>
    <col min="88" max="88" width="12" style="30" bestFit="1" customWidth="1"/>
    <col min="89" max="89" width="11" style="30" bestFit="1" customWidth="1"/>
    <col min="90" max="93" width="12" style="30" bestFit="1" customWidth="1"/>
    <col min="94" max="94" width="6" style="30" bestFit="1" customWidth="1"/>
    <col min="95" max="95" width="10.7109375" style="30" bestFit="1" customWidth="1"/>
    <col min="96" max="96" width="10.85546875" style="30" bestFit="1" customWidth="1"/>
    <col min="97" max="16384" width="9.140625" style="30"/>
  </cols>
  <sheetData>
    <row r="1" spans="1:20" s="2" customFormat="1" ht="21" x14ac:dyDescent="0.35">
      <c r="A1" s="1" t="s">
        <v>245</v>
      </c>
    </row>
    <row r="3" spans="1:20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0" ht="15.75" thickBot="1" x14ac:dyDescent="0.3">
      <c r="A4" s="113" t="s">
        <v>246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5"/>
      <c r="T4" s="110"/>
    </row>
    <row r="5" spans="1:20" ht="14.25" hidden="1" customHeight="1" thickBot="1" x14ac:dyDescent="0.3">
      <c r="A5" s="45" t="s">
        <v>240</v>
      </c>
      <c r="B5" s="45" t="s">
        <v>177</v>
      </c>
      <c r="C5" s="46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8"/>
      <c r="T5" s="31"/>
    </row>
    <row r="6" spans="1:20" ht="30" customHeight="1" thickBot="1" x14ac:dyDescent="0.3">
      <c r="A6" s="50" t="s">
        <v>175</v>
      </c>
      <c r="B6" s="53" t="s">
        <v>164</v>
      </c>
      <c r="C6" s="54" t="s">
        <v>163</v>
      </c>
      <c r="D6" s="54" t="s">
        <v>149</v>
      </c>
      <c r="E6" s="54" t="s">
        <v>170</v>
      </c>
      <c r="F6" s="54" t="s">
        <v>161</v>
      </c>
      <c r="G6" s="54" t="s">
        <v>42</v>
      </c>
      <c r="H6" s="54" t="s">
        <v>162</v>
      </c>
      <c r="I6" s="54" t="s">
        <v>166</v>
      </c>
      <c r="J6" s="54" t="s">
        <v>168</v>
      </c>
      <c r="K6" s="54" t="s">
        <v>171</v>
      </c>
      <c r="L6" s="54" t="s">
        <v>248</v>
      </c>
      <c r="M6" s="54" t="s">
        <v>249</v>
      </c>
      <c r="N6" s="54" t="s">
        <v>172</v>
      </c>
      <c r="O6" s="54" t="s">
        <v>167</v>
      </c>
      <c r="P6" s="54" t="s">
        <v>165</v>
      </c>
      <c r="Q6" s="55" t="s">
        <v>169</v>
      </c>
      <c r="R6" s="50" t="s">
        <v>176</v>
      </c>
      <c r="T6" s="31"/>
    </row>
    <row r="7" spans="1:20" x14ac:dyDescent="0.25">
      <c r="A7" s="51" t="s">
        <v>157</v>
      </c>
      <c r="B7" s="33">
        <v>50.06</v>
      </c>
      <c r="C7" s="32">
        <v>0</v>
      </c>
      <c r="D7" s="32"/>
      <c r="E7" s="32"/>
      <c r="F7" s="32"/>
      <c r="G7" s="32"/>
      <c r="H7" s="32"/>
      <c r="I7" s="32">
        <v>37.799999999999997</v>
      </c>
      <c r="J7" s="32"/>
      <c r="K7" s="32"/>
      <c r="L7" s="32"/>
      <c r="M7" s="32">
        <v>5.1100000000000003</v>
      </c>
      <c r="N7" s="32"/>
      <c r="O7" s="32"/>
      <c r="P7" s="32">
        <v>0</v>
      </c>
      <c r="Q7" s="32"/>
      <c r="R7" s="34">
        <v>92.97</v>
      </c>
      <c r="T7" s="31"/>
    </row>
    <row r="8" spans="1:20" x14ac:dyDescent="0.25">
      <c r="A8" s="51" t="s">
        <v>29</v>
      </c>
      <c r="B8" s="33">
        <v>476.63</v>
      </c>
      <c r="C8" s="32">
        <v>10.94</v>
      </c>
      <c r="D8" s="32">
        <v>0</v>
      </c>
      <c r="E8" s="32">
        <v>0</v>
      </c>
      <c r="F8" s="32"/>
      <c r="G8" s="32"/>
      <c r="H8" s="32"/>
      <c r="I8" s="32">
        <v>532.32000000000005</v>
      </c>
      <c r="J8" s="32"/>
      <c r="K8" s="32">
        <v>27.54</v>
      </c>
      <c r="L8" s="32">
        <v>493.31</v>
      </c>
      <c r="M8" s="32">
        <v>548.35</v>
      </c>
      <c r="N8" s="32">
        <v>27.54</v>
      </c>
      <c r="O8" s="32">
        <v>175.85</v>
      </c>
      <c r="P8" s="32">
        <v>0</v>
      </c>
      <c r="Q8" s="32">
        <v>0</v>
      </c>
      <c r="R8" s="34">
        <v>2292.48</v>
      </c>
      <c r="T8" s="31"/>
    </row>
    <row r="9" spans="1:20" x14ac:dyDescent="0.25">
      <c r="A9" s="51" t="s">
        <v>103</v>
      </c>
      <c r="B9" s="33"/>
      <c r="C9" s="32"/>
      <c r="D9" s="32">
        <v>0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>
        <v>0</v>
      </c>
      <c r="R9" s="34">
        <v>0</v>
      </c>
      <c r="T9" s="31"/>
    </row>
    <row r="10" spans="1:20" x14ac:dyDescent="0.25">
      <c r="A10" s="51" t="s">
        <v>159</v>
      </c>
      <c r="B10" s="33"/>
      <c r="C10" s="32"/>
      <c r="D10" s="32">
        <v>0</v>
      </c>
      <c r="E10" s="32">
        <v>0</v>
      </c>
      <c r="F10" s="32">
        <v>403.89</v>
      </c>
      <c r="G10" s="32"/>
      <c r="H10" s="32"/>
      <c r="I10" s="32"/>
      <c r="J10" s="32"/>
      <c r="K10" s="32">
        <v>0</v>
      </c>
      <c r="L10" s="32"/>
      <c r="M10" s="32"/>
      <c r="N10" s="32">
        <v>0</v>
      </c>
      <c r="O10" s="32"/>
      <c r="P10" s="32"/>
      <c r="Q10" s="32"/>
      <c r="R10" s="34">
        <v>403.89</v>
      </c>
      <c r="T10" s="31"/>
    </row>
    <row r="11" spans="1:20" x14ac:dyDescent="0.25">
      <c r="A11" s="51" t="s">
        <v>155</v>
      </c>
      <c r="B11" s="33"/>
      <c r="C11" s="32"/>
      <c r="D11" s="32">
        <v>0</v>
      </c>
      <c r="E11" s="32"/>
      <c r="F11" s="32">
        <v>0</v>
      </c>
      <c r="G11" s="32">
        <v>318.72999999999996</v>
      </c>
      <c r="H11" s="32">
        <v>0</v>
      </c>
      <c r="I11" s="32"/>
      <c r="J11" s="32">
        <v>28565.51</v>
      </c>
      <c r="K11" s="32"/>
      <c r="L11" s="32"/>
      <c r="M11" s="32"/>
      <c r="N11" s="32"/>
      <c r="O11" s="32"/>
      <c r="P11" s="32"/>
      <c r="Q11" s="32"/>
      <c r="R11" s="34">
        <v>28884.239999999998</v>
      </c>
      <c r="T11" s="31"/>
    </row>
    <row r="12" spans="1:20" x14ac:dyDescent="0.25">
      <c r="A12" s="51" t="s">
        <v>158</v>
      </c>
      <c r="B12" s="33"/>
      <c r="C12" s="32">
        <v>0</v>
      </c>
      <c r="D12" s="32"/>
      <c r="E12" s="32">
        <v>0</v>
      </c>
      <c r="F12" s="32"/>
      <c r="G12" s="32"/>
      <c r="H12" s="32"/>
      <c r="I12" s="32">
        <v>0</v>
      </c>
      <c r="J12" s="32"/>
      <c r="K12" s="32">
        <v>0</v>
      </c>
      <c r="L12" s="32"/>
      <c r="M12" s="32">
        <v>0</v>
      </c>
      <c r="N12" s="32">
        <v>0</v>
      </c>
      <c r="O12" s="32"/>
      <c r="P12" s="32"/>
      <c r="Q12" s="32">
        <v>0</v>
      </c>
      <c r="R12" s="34">
        <v>0</v>
      </c>
      <c r="T12" s="31"/>
    </row>
    <row r="13" spans="1:20" ht="15.75" thickBot="1" x14ac:dyDescent="0.3">
      <c r="A13" s="52" t="s">
        <v>156</v>
      </c>
      <c r="B13" s="33">
        <v>100</v>
      </c>
      <c r="C13" s="32">
        <v>0</v>
      </c>
      <c r="D13" s="32"/>
      <c r="E13" s="32"/>
      <c r="F13" s="32"/>
      <c r="G13" s="32"/>
      <c r="H13" s="32"/>
      <c r="I13" s="32">
        <v>0</v>
      </c>
      <c r="J13" s="32"/>
      <c r="K13" s="32"/>
      <c r="L13" s="32"/>
      <c r="M13" s="32">
        <v>0</v>
      </c>
      <c r="N13" s="32"/>
      <c r="O13" s="32"/>
      <c r="P13" s="32">
        <v>188.07</v>
      </c>
      <c r="Q13" s="32"/>
      <c r="R13" s="34">
        <v>288.07</v>
      </c>
      <c r="T13" s="31"/>
    </row>
    <row r="14" spans="1:20" ht="15.75" thickBot="1" x14ac:dyDescent="0.3">
      <c r="A14" s="52" t="s">
        <v>176</v>
      </c>
      <c r="B14" s="49">
        <v>626.69000000000005</v>
      </c>
      <c r="C14" s="35">
        <v>10.94</v>
      </c>
      <c r="D14" s="35">
        <v>0</v>
      </c>
      <c r="E14" s="35">
        <v>0</v>
      </c>
      <c r="F14" s="35">
        <v>403.89</v>
      </c>
      <c r="G14" s="35">
        <v>318.72999999999996</v>
      </c>
      <c r="H14" s="35">
        <v>0</v>
      </c>
      <c r="I14" s="35">
        <v>570.12</v>
      </c>
      <c r="J14" s="35">
        <v>28565.51</v>
      </c>
      <c r="K14" s="35">
        <v>27.54</v>
      </c>
      <c r="L14" s="35">
        <v>493.31</v>
      </c>
      <c r="M14" s="35">
        <v>553.46</v>
      </c>
      <c r="N14" s="35">
        <v>27.54</v>
      </c>
      <c r="O14" s="35">
        <v>175.85</v>
      </c>
      <c r="P14" s="35">
        <v>188.07</v>
      </c>
      <c r="Q14" s="35">
        <v>0</v>
      </c>
      <c r="R14" s="36">
        <v>31961.649999999998</v>
      </c>
      <c r="T14" s="31"/>
    </row>
    <row r="15" spans="1:20" ht="15.75" thickBot="1" x14ac:dyDescent="0.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T15" s="31"/>
    </row>
    <row r="16" spans="1:20" ht="18.75" thickBot="1" x14ac:dyDescent="0.4">
      <c r="A16" s="116" t="s">
        <v>247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8"/>
      <c r="S16" s="111"/>
      <c r="T16" s="111"/>
    </row>
    <row r="17" spans="1:20" ht="15.75" hidden="1" thickBot="1" x14ac:dyDescent="0.3">
      <c r="A17" s="37" t="s">
        <v>241</v>
      </c>
      <c r="B17" s="37" t="s">
        <v>177</v>
      </c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  <c r="T17" s="31"/>
    </row>
    <row r="18" spans="1:20" ht="15.75" thickBot="1" x14ac:dyDescent="0.3">
      <c r="A18" s="37" t="s">
        <v>175</v>
      </c>
      <c r="B18" s="38" t="s">
        <v>164</v>
      </c>
      <c r="C18" s="39" t="s">
        <v>163</v>
      </c>
      <c r="D18" s="39" t="s">
        <v>149</v>
      </c>
      <c r="E18" s="39" t="s">
        <v>170</v>
      </c>
      <c r="F18" s="39" t="s">
        <v>161</v>
      </c>
      <c r="G18" s="39" t="s">
        <v>42</v>
      </c>
      <c r="H18" s="39" t="s">
        <v>162</v>
      </c>
      <c r="I18" s="39" t="s">
        <v>166</v>
      </c>
      <c r="J18" s="39" t="s">
        <v>168</v>
      </c>
      <c r="K18" s="39" t="s">
        <v>171</v>
      </c>
      <c r="L18" s="39" t="s">
        <v>248</v>
      </c>
      <c r="M18" s="39" t="s">
        <v>249</v>
      </c>
      <c r="N18" s="39" t="s">
        <v>172</v>
      </c>
      <c r="O18" s="39" t="s">
        <v>167</v>
      </c>
      <c r="P18" s="39" t="s">
        <v>165</v>
      </c>
      <c r="Q18" s="40" t="s">
        <v>169</v>
      </c>
      <c r="R18" s="37" t="s">
        <v>176</v>
      </c>
      <c r="T18" s="31"/>
    </row>
    <row r="19" spans="1:20" x14ac:dyDescent="0.25">
      <c r="A19" s="41" t="s">
        <v>157</v>
      </c>
      <c r="B19" s="56">
        <v>0.19770928965072004</v>
      </c>
      <c r="C19" s="57">
        <v>0</v>
      </c>
      <c r="D19" s="57"/>
      <c r="E19" s="57"/>
      <c r="F19" s="57"/>
      <c r="G19" s="57"/>
      <c r="H19" s="57"/>
      <c r="I19" s="57">
        <v>0.10900314452159998</v>
      </c>
      <c r="J19" s="57"/>
      <c r="K19" s="57"/>
      <c r="L19" s="57"/>
      <c r="M19" s="57">
        <v>6.4981059091199986E-3</v>
      </c>
      <c r="N19" s="57"/>
      <c r="O19" s="57"/>
      <c r="P19" s="57">
        <v>0</v>
      </c>
      <c r="Q19" s="57"/>
      <c r="R19" s="62">
        <v>0.31321054008144</v>
      </c>
      <c r="T19" s="31"/>
    </row>
    <row r="20" spans="1:20" x14ac:dyDescent="0.25">
      <c r="A20" s="42" t="s">
        <v>29</v>
      </c>
      <c r="B20" s="33">
        <v>22.501170421495061</v>
      </c>
      <c r="C20" s="32">
        <v>0.34625994677879784</v>
      </c>
      <c r="D20" s="32">
        <v>0</v>
      </c>
      <c r="E20" s="32">
        <v>0</v>
      </c>
      <c r="F20" s="32"/>
      <c r="G20" s="32"/>
      <c r="H20" s="32"/>
      <c r="I20" s="32">
        <v>15.93930925166954</v>
      </c>
      <c r="J20" s="32"/>
      <c r="K20" s="32">
        <v>5.6201391983701804E-2</v>
      </c>
      <c r="L20" s="32">
        <v>2.9681627452330064</v>
      </c>
      <c r="M20" s="32">
        <v>6.5174064743826836</v>
      </c>
      <c r="N20" s="32">
        <v>5.1271445318464811E-3</v>
      </c>
      <c r="O20" s="32">
        <v>1.714352427937561</v>
      </c>
      <c r="P20" s="32">
        <v>0</v>
      </c>
      <c r="Q20" s="32">
        <v>0</v>
      </c>
      <c r="R20" s="63">
        <v>50.047989804012197</v>
      </c>
      <c r="T20" s="31"/>
    </row>
    <row r="21" spans="1:20" x14ac:dyDescent="0.25">
      <c r="A21" s="42" t="s">
        <v>103</v>
      </c>
      <c r="B21" s="33"/>
      <c r="C21" s="32"/>
      <c r="D21" s="32">
        <v>0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>
        <v>0</v>
      </c>
      <c r="R21" s="63">
        <v>0</v>
      </c>
    </row>
    <row r="22" spans="1:20" x14ac:dyDescent="0.25">
      <c r="A22" s="42" t="s">
        <v>159</v>
      </c>
      <c r="B22" s="33"/>
      <c r="C22" s="32"/>
      <c r="D22" s="32">
        <v>0</v>
      </c>
      <c r="E22" s="32">
        <v>0</v>
      </c>
      <c r="F22" s="32">
        <v>0.92433076583088314</v>
      </c>
      <c r="G22" s="32"/>
      <c r="H22" s="32"/>
      <c r="I22" s="32"/>
      <c r="J22" s="32"/>
      <c r="K22" s="32">
        <v>0</v>
      </c>
      <c r="L22" s="32"/>
      <c r="M22" s="32"/>
      <c r="N22" s="32">
        <v>0</v>
      </c>
      <c r="O22" s="32"/>
      <c r="P22" s="32"/>
      <c r="Q22" s="32"/>
      <c r="R22" s="63">
        <v>0.92433076583088314</v>
      </c>
    </row>
    <row r="23" spans="1:20" x14ac:dyDescent="0.25">
      <c r="A23" s="42" t="s">
        <v>155</v>
      </c>
      <c r="B23" s="33"/>
      <c r="C23" s="32"/>
      <c r="D23" s="32">
        <v>0</v>
      </c>
      <c r="E23" s="32"/>
      <c r="F23" s="32">
        <v>0</v>
      </c>
      <c r="G23" s="32">
        <v>1.3735264978172601</v>
      </c>
      <c r="H23" s="32">
        <v>0</v>
      </c>
      <c r="I23" s="32"/>
      <c r="J23" s="32">
        <v>8.1508711971959986</v>
      </c>
      <c r="K23" s="32"/>
      <c r="L23" s="32"/>
      <c r="M23" s="32"/>
      <c r="N23" s="32"/>
      <c r="O23" s="32"/>
      <c r="P23" s="32"/>
      <c r="Q23" s="32"/>
      <c r="R23" s="63">
        <v>9.5243976950132581</v>
      </c>
    </row>
    <row r="24" spans="1:20" x14ac:dyDescent="0.25">
      <c r="A24" s="42" t="s">
        <v>158</v>
      </c>
      <c r="B24" s="33"/>
      <c r="C24" s="32">
        <v>0</v>
      </c>
      <c r="D24" s="32"/>
      <c r="E24" s="32">
        <v>0</v>
      </c>
      <c r="F24" s="32"/>
      <c r="G24" s="32"/>
      <c r="H24" s="32"/>
      <c r="I24" s="32">
        <v>0</v>
      </c>
      <c r="J24" s="32"/>
      <c r="K24" s="32">
        <v>0</v>
      </c>
      <c r="L24" s="32"/>
      <c r="M24" s="32">
        <v>0</v>
      </c>
      <c r="N24" s="32">
        <v>0</v>
      </c>
      <c r="O24" s="32"/>
      <c r="P24" s="32"/>
      <c r="Q24" s="32">
        <v>0</v>
      </c>
      <c r="R24" s="63">
        <v>0</v>
      </c>
    </row>
    <row r="25" spans="1:20" ht="15.75" thickBot="1" x14ac:dyDescent="0.3">
      <c r="A25" s="43" t="s">
        <v>156</v>
      </c>
      <c r="B25" s="58">
        <v>1.0623412800000001</v>
      </c>
      <c r="C25" s="59">
        <v>0</v>
      </c>
      <c r="D25" s="59"/>
      <c r="E25" s="59"/>
      <c r="F25" s="59"/>
      <c r="G25" s="59"/>
      <c r="H25" s="59"/>
      <c r="I25" s="59">
        <v>0</v>
      </c>
      <c r="J25" s="59"/>
      <c r="K25" s="59"/>
      <c r="L25" s="59"/>
      <c r="M25" s="59">
        <v>0</v>
      </c>
      <c r="N25" s="59"/>
      <c r="O25" s="59"/>
      <c r="P25" s="59">
        <v>7.6692839616000033</v>
      </c>
      <c r="Q25" s="59"/>
      <c r="R25" s="64">
        <v>8.7316252416000033</v>
      </c>
    </row>
    <row r="26" spans="1:20" ht="15.75" thickBot="1" x14ac:dyDescent="0.3">
      <c r="A26" s="44" t="s">
        <v>176</v>
      </c>
      <c r="B26" s="38">
        <v>23.761220991145784</v>
      </c>
      <c r="C26" s="39">
        <v>0.34625994677879784</v>
      </c>
      <c r="D26" s="39">
        <v>0</v>
      </c>
      <c r="E26" s="39">
        <v>0</v>
      </c>
      <c r="F26" s="39">
        <v>0.92433076583088314</v>
      </c>
      <c r="G26" s="39">
        <v>1.3735264978172601</v>
      </c>
      <c r="H26" s="39">
        <v>0</v>
      </c>
      <c r="I26" s="39">
        <v>16.04831239619114</v>
      </c>
      <c r="J26" s="39">
        <v>8.1508711971959986</v>
      </c>
      <c r="K26" s="39">
        <v>5.6201391983701804E-2</v>
      </c>
      <c r="L26" s="39">
        <v>2.9681627452330064</v>
      </c>
      <c r="M26" s="39">
        <v>6.5239045802918039</v>
      </c>
      <c r="N26" s="39">
        <v>5.1271445318464811E-3</v>
      </c>
      <c r="O26" s="39">
        <v>1.714352427937561</v>
      </c>
      <c r="P26" s="39">
        <v>7.6692839616000033</v>
      </c>
      <c r="Q26" s="39">
        <v>0</v>
      </c>
      <c r="R26" s="40">
        <v>69.541554046537783</v>
      </c>
    </row>
  </sheetData>
  <mergeCells count="2">
    <mergeCell ref="A4:R4"/>
    <mergeCell ref="A16:R16"/>
  </mergeCell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78"/>
  <sheetViews>
    <sheetView tabSelected="1" topLeftCell="E1" zoomScale="70" zoomScaleNormal="70" workbookViewId="0">
      <pane ySplit="6" topLeftCell="A234" activePane="bottomLeft" state="frozen"/>
      <selection pane="bottomLeft" activeCell="O293" sqref="O293"/>
    </sheetView>
  </sheetViews>
  <sheetFormatPr defaultColWidth="8.7109375" defaultRowHeight="15" x14ac:dyDescent="0.25"/>
  <cols>
    <col min="1" max="2" width="27.7109375" customWidth="1"/>
    <col min="3" max="3" width="69.7109375" customWidth="1"/>
    <col min="4" max="4" width="46.85546875" customWidth="1"/>
    <col min="5" max="5" width="59.42578125" bestFit="1" customWidth="1"/>
    <col min="6" max="8" width="26.7109375" customWidth="1"/>
    <col min="9" max="9" width="35" style="11" customWidth="1"/>
    <col min="10" max="10" width="22.5703125" customWidth="1"/>
    <col min="11" max="11" width="20" customWidth="1"/>
    <col min="12" max="12" width="33.5703125" style="6" customWidth="1"/>
    <col min="13" max="14" width="15" style="6" customWidth="1"/>
    <col min="15" max="15" width="33.28515625" style="6" customWidth="1"/>
    <col min="16" max="16" width="16.5703125" style="6" customWidth="1"/>
    <col min="17" max="17" width="36.42578125" style="6" customWidth="1"/>
    <col min="18" max="18" width="33.28515625" style="6" customWidth="1"/>
    <col min="19" max="19" width="17.7109375" style="6" customWidth="1"/>
    <col min="20" max="20" width="17.42578125" style="6" customWidth="1"/>
    <col min="21" max="22" width="13" style="6" customWidth="1"/>
    <col min="23" max="23" width="23.42578125" style="6" customWidth="1"/>
    <col min="24" max="24" width="43.140625" style="6" customWidth="1"/>
    <col min="25" max="25" width="8.7109375" style="3" customWidth="1"/>
    <col min="26" max="26" width="9.28515625" style="3" customWidth="1"/>
    <col min="27" max="16384" width="8.7109375" style="3"/>
  </cols>
  <sheetData>
    <row r="1" spans="1:26" s="2" customFormat="1" ht="21" x14ac:dyDescent="0.35">
      <c r="A1" s="1" t="s">
        <v>0</v>
      </c>
      <c r="B1" s="1"/>
      <c r="I1" s="10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6" customFormat="1" x14ac:dyDescent="0.25">
      <c r="I2" s="11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6" customFormat="1" x14ac:dyDescent="0.25">
      <c r="A3" s="12"/>
      <c r="B3" t="s">
        <v>178</v>
      </c>
      <c r="I3" s="11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6" customFormat="1" x14ac:dyDescent="0.25">
      <c r="A4" s="60"/>
      <c r="B4" t="s">
        <v>179</v>
      </c>
      <c r="I4" s="11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6" customFormat="1" x14ac:dyDescent="0.25">
      <c r="A5" s="3"/>
      <c r="B5" s="3"/>
      <c r="I5" s="11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6" s="61" customFormat="1" ht="42.75" customHeight="1" x14ac:dyDescent="0.25">
      <c r="A6" s="71" t="s">
        <v>1</v>
      </c>
      <c r="B6" s="72" t="s">
        <v>182</v>
      </c>
      <c r="C6" s="72" t="s">
        <v>3</v>
      </c>
      <c r="D6" s="72" t="s">
        <v>160</v>
      </c>
      <c r="E6" s="72" t="s">
        <v>9</v>
      </c>
      <c r="F6" s="72" t="s">
        <v>154</v>
      </c>
      <c r="G6" s="72" t="s">
        <v>235</v>
      </c>
      <c r="H6" s="72" t="s">
        <v>239</v>
      </c>
      <c r="I6" s="73" t="s">
        <v>183</v>
      </c>
      <c r="J6" s="74" t="s">
        <v>34</v>
      </c>
      <c r="K6" s="74" t="s">
        <v>35</v>
      </c>
      <c r="L6" s="75" t="s">
        <v>38</v>
      </c>
      <c r="M6" s="75" t="s">
        <v>36</v>
      </c>
      <c r="N6" s="75" t="s">
        <v>242</v>
      </c>
      <c r="O6" s="75" t="s">
        <v>37</v>
      </c>
      <c r="P6" s="75" t="s">
        <v>174</v>
      </c>
      <c r="Q6" s="75" t="s">
        <v>132</v>
      </c>
      <c r="R6" s="75" t="s">
        <v>133</v>
      </c>
      <c r="S6" s="75" t="s">
        <v>39</v>
      </c>
      <c r="T6" s="75" t="s">
        <v>40</v>
      </c>
      <c r="U6" s="76" t="s">
        <v>193</v>
      </c>
      <c r="V6" s="76" t="s">
        <v>180</v>
      </c>
      <c r="W6" s="75" t="s">
        <v>181</v>
      </c>
      <c r="X6" s="77" t="s">
        <v>184</v>
      </c>
    </row>
    <row r="7" spans="1:26" hidden="1" x14ac:dyDescent="0.25">
      <c r="A7" s="24" t="s">
        <v>229</v>
      </c>
      <c r="B7" s="86">
        <v>4501</v>
      </c>
      <c r="C7" s="4" t="s">
        <v>230</v>
      </c>
      <c r="D7" s="4" t="s">
        <v>149</v>
      </c>
      <c r="E7" s="4" t="s">
        <v>230</v>
      </c>
      <c r="F7" s="4" t="s">
        <v>29</v>
      </c>
      <c r="G7" s="4">
        <v>450101</v>
      </c>
      <c r="H7" s="4">
        <f>Tabel1[[#This Row],[Stald_kode]]+Tabel1[[#This Row],[Dyr_Kode]]</f>
        <v>454602</v>
      </c>
      <c r="I7" s="12">
        <v>0</v>
      </c>
      <c r="J7" s="4" t="s">
        <v>29</v>
      </c>
      <c r="K7" s="105"/>
      <c r="L7" s="108"/>
      <c r="M7" s="108"/>
      <c r="N7" s="108">
        <f>Tabel1[[#This Row],[Antal dyr i Kommunen 2018]]*Tabel1[[#This Row],[Gødning (g) pr. dyr (ton)]]</f>
        <v>0</v>
      </c>
      <c r="O7" s="109">
        <v>1.57E-3</v>
      </c>
      <c r="P7" s="109">
        <v>0.48</v>
      </c>
      <c r="Q7" s="108">
        <v>0</v>
      </c>
      <c r="R7" s="108">
        <v>0</v>
      </c>
      <c r="S7" s="109">
        <v>0.75326088000000013</v>
      </c>
      <c r="T7" s="109">
        <v>0</v>
      </c>
      <c r="U7" s="108">
        <v>1.5</v>
      </c>
      <c r="V7" s="108">
        <v>0.36</v>
      </c>
      <c r="W7" s="9">
        <f>(S7*U7/100*0.67*V7)+(T7*U7/100*0.67*V7)</f>
        <v>2.7252978638400011E-3</v>
      </c>
      <c r="X7" s="79">
        <f>(W7*I7)/1000</f>
        <v>0</v>
      </c>
      <c r="Z7" s="8"/>
    </row>
    <row r="8" spans="1:26" hidden="1" x14ac:dyDescent="0.25">
      <c r="A8" s="24" t="s">
        <v>229</v>
      </c>
      <c r="B8" s="86">
        <v>4701</v>
      </c>
      <c r="C8" s="4" t="s">
        <v>231</v>
      </c>
      <c r="D8" s="4" t="s">
        <v>149</v>
      </c>
      <c r="E8" s="4" t="s">
        <v>231</v>
      </c>
      <c r="F8" s="4" t="s">
        <v>29</v>
      </c>
      <c r="G8" s="4">
        <v>470101</v>
      </c>
      <c r="H8" s="4">
        <f>Tabel1[[#This Row],[Stald_kode]]+Tabel1[[#This Row],[Dyr_Kode]]</f>
        <v>474802</v>
      </c>
      <c r="I8" s="12">
        <v>0</v>
      </c>
      <c r="J8" s="4" t="s">
        <v>29</v>
      </c>
      <c r="K8" s="98"/>
      <c r="L8" s="87"/>
      <c r="M8" s="87"/>
      <c r="N8" s="87">
        <f>Tabel1[[#This Row],[Antal dyr i Kommunen 2018]]*Tabel1[[#This Row],[Gødning (g) pr. dyr (ton)]]</f>
        <v>0</v>
      </c>
      <c r="O8" s="90"/>
      <c r="P8" s="90"/>
      <c r="Q8" s="87"/>
      <c r="R8" s="87"/>
      <c r="S8" s="90"/>
      <c r="T8" s="90"/>
      <c r="U8" s="87"/>
      <c r="V8" s="87"/>
      <c r="W8" s="13">
        <v>5.67</v>
      </c>
      <c r="X8" s="69">
        <f>W8*I8</f>
        <v>0</v>
      </c>
      <c r="Z8" s="8"/>
    </row>
    <row r="9" spans="1:26" hidden="1" x14ac:dyDescent="0.25">
      <c r="A9" s="24" t="s">
        <v>229</v>
      </c>
      <c r="B9" s="86">
        <v>4703</v>
      </c>
      <c r="C9" s="4" t="s">
        <v>232</v>
      </c>
      <c r="D9" s="4" t="s">
        <v>149</v>
      </c>
      <c r="E9" s="4" t="s">
        <v>232</v>
      </c>
      <c r="F9" s="4" t="s">
        <v>29</v>
      </c>
      <c r="G9" s="4">
        <v>470301</v>
      </c>
      <c r="H9" s="4">
        <f>Tabel1[[#This Row],[Stald_kode]]+Tabel1[[#This Row],[Dyr_Kode]]</f>
        <v>475004</v>
      </c>
      <c r="I9" s="12">
        <v>0</v>
      </c>
      <c r="J9" s="4" t="s">
        <v>29</v>
      </c>
      <c r="K9" s="98"/>
      <c r="L9" s="87"/>
      <c r="M9" s="87"/>
      <c r="N9" s="87">
        <f>Tabel1[[#This Row],[Antal dyr i Kommunen 2018]]*Tabel1[[#This Row],[Gødning (g) pr. dyr (ton)]]</f>
        <v>0</v>
      </c>
      <c r="O9" s="90"/>
      <c r="P9" s="90"/>
      <c r="Q9" s="87"/>
      <c r="R9" s="87"/>
      <c r="S9" s="90"/>
      <c r="T9" s="90"/>
      <c r="U9" s="87"/>
      <c r="V9" s="87"/>
      <c r="W9" s="13">
        <v>5.67</v>
      </c>
      <c r="X9" s="69">
        <f>W9*I9</f>
        <v>0</v>
      </c>
      <c r="Z9" s="8"/>
    </row>
    <row r="10" spans="1:26" hidden="1" x14ac:dyDescent="0.25">
      <c r="A10" s="100" t="s">
        <v>229</v>
      </c>
      <c r="B10" s="15">
        <v>4706</v>
      </c>
      <c r="C10" s="15" t="s">
        <v>234</v>
      </c>
      <c r="D10" s="4" t="s">
        <v>149</v>
      </c>
      <c r="E10" s="15" t="s">
        <v>234</v>
      </c>
      <c r="F10" s="15" t="s">
        <v>29</v>
      </c>
      <c r="G10" s="15">
        <v>470601</v>
      </c>
      <c r="H10" s="15">
        <f>Tabel1[[#This Row],[Stald_kode]]+Tabel1[[#This Row],[Dyr_Kode]]</f>
        <v>475307</v>
      </c>
      <c r="I10" s="12">
        <v>0</v>
      </c>
      <c r="J10" s="4" t="s">
        <v>29</v>
      </c>
      <c r="K10" s="102"/>
      <c r="L10" s="87"/>
      <c r="M10" s="87"/>
      <c r="N10" s="87">
        <f>Tabel1[[#This Row],[Antal dyr i Kommunen 2018]]*Tabel1[[#This Row],[Gødning (g) pr. dyr (ton)]]</f>
        <v>0</v>
      </c>
      <c r="O10" s="87"/>
      <c r="P10" s="87"/>
      <c r="Q10" s="87"/>
      <c r="R10" s="87"/>
      <c r="S10" s="87"/>
      <c r="T10" s="87"/>
      <c r="U10" s="87"/>
      <c r="V10" s="87"/>
      <c r="W10" s="13">
        <v>5.67</v>
      </c>
      <c r="X10" s="69">
        <f>W10*I10</f>
        <v>0</v>
      </c>
      <c r="Z10" s="8"/>
    </row>
    <row r="11" spans="1:26" hidden="1" x14ac:dyDescent="0.25">
      <c r="A11" s="24" t="s">
        <v>229</v>
      </c>
      <c r="B11" s="86">
        <v>4705</v>
      </c>
      <c r="C11" s="4" t="s">
        <v>233</v>
      </c>
      <c r="D11" s="4" t="s">
        <v>149</v>
      </c>
      <c r="E11" s="4" t="s">
        <v>233</v>
      </c>
      <c r="F11" s="4" t="s">
        <v>29</v>
      </c>
      <c r="G11" s="4">
        <v>470501</v>
      </c>
      <c r="H11" s="4">
        <f>Tabel1[[#This Row],[Stald_kode]]+Tabel1[[#This Row],[Dyr_Kode]]</f>
        <v>475206</v>
      </c>
      <c r="I11" s="12">
        <v>0</v>
      </c>
      <c r="J11" s="4" t="s">
        <v>29</v>
      </c>
      <c r="K11" s="98"/>
      <c r="L11" s="87"/>
      <c r="M11" s="87"/>
      <c r="N11" s="87">
        <f>Tabel1[[#This Row],[Antal dyr i Kommunen 2018]]*Tabel1[[#This Row],[Gødning (g) pr. dyr (ton)]]</f>
        <v>0</v>
      </c>
      <c r="O11" s="90"/>
      <c r="P11" s="90"/>
      <c r="Q11" s="87"/>
      <c r="R11" s="87"/>
      <c r="S11" s="90"/>
      <c r="T11" s="90"/>
      <c r="U11" s="87"/>
      <c r="V11" s="87"/>
      <c r="W11" s="13">
        <v>5.67</v>
      </c>
      <c r="X11" s="69">
        <f>W11*I11</f>
        <v>0</v>
      </c>
      <c r="Z11" s="8"/>
    </row>
    <row r="12" spans="1:26" hidden="1" x14ac:dyDescent="0.25">
      <c r="A12" s="25" t="s">
        <v>5</v>
      </c>
      <c r="B12" s="78">
        <v>1300</v>
      </c>
      <c r="C12" s="4" t="s">
        <v>58</v>
      </c>
      <c r="D12" s="4" t="s">
        <v>161</v>
      </c>
      <c r="E12" s="4" t="s">
        <v>5</v>
      </c>
      <c r="F12" s="4" t="s">
        <v>159</v>
      </c>
      <c r="G12" s="4">
        <v>130001</v>
      </c>
      <c r="H12" s="4">
        <f>Tabel1[[#This Row],[Stald_kode]]+Tabel1[[#This Row],[Dyr_Kode]]</f>
        <v>131301</v>
      </c>
      <c r="I12" s="12">
        <v>403.89</v>
      </c>
      <c r="J12" s="15"/>
      <c r="K12" s="4" t="s">
        <v>29</v>
      </c>
      <c r="L12" s="14"/>
      <c r="M12" s="14"/>
      <c r="N12" s="14">
        <f>Tabel1[[#This Row],[Antal dyr i Kommunen 2018]]*Tabel1[[#This Row],[Gødning (g) pr. dyr (ton)]]</f>
        <v>0</v>
      </c>
      <c r="O12" s="14">
        <v>1.1299999999999999</v>
      </c>
      <c r="P12" s="14">
        <v>0.34599999999999997</v>
      </c>
      <c r="Q12" s="7">
        <v>265</v>
      </c>
      <c r="R12" s="7">
        <v>265</v>
      </c>
      <c r="S12" s="13">
        <f t="shared" ref="S12:S20" si="0">(L12*1000)/365*M12*(365-Q12)*0.8+(O12*1000)/365*P12*(365-Q12)*(1-0.045/100)</f>
        <v>107.06960520547945</v>
      </c>
      <c r="T12" s="9">
        <f t="shared" ref="T12:T20" si="1">(O12*1000)/365*P12*0.8*Q12</f>
        <v>227.08975342465752</v>
      </c>
      <c r="U12" s="7">
        <v>5.38</v>
      </c>
      <c r="V12" s="7">
        <v>0.19</v>
      </c>
      <c r="W12" s="9">
        <f t="shared" ref="W12:W20" si="2">(S12*U12/100*0.67*V12)+(T12*U12/100*0.67*V12)</f>
        <v>2.2885705658245641</v>
      </c>
      <c r="X12" s="79">
        <f>(W12*I12)/1000</f>
        <v>0.92433076583088314</v>
      </c>
      <c r="Z12" s="8"/>
    </row>
    <row r="13" spans="1:26" hidden="1" x14ac:dyDescent="0.25">
      <c r="A13" s="25" t="s">
        <v>45</v>
      </c>
      <c r="B13" s="78">
        <v>1402</v>
      </c>
      <c r="C13" s="4" t="s">
        <v>72</v>
      </c>
      <c r="D13" s="4" t="s">
        <v>161</v>
      </c>
      <c r="E13" s="4" t="s">
        <v>7</v>
      </c>
      <c r="F13" s="4" t="s">
        <v>155</v>
      </c>
      <c r="G13" s="4">
        <v>140201</v>
      </c>
      <c r="H13" s="4">
        <f>Tabel1[[#This Row],[Stald_kode]]+Tabel1[[#This Row],[Dyr_Kode]]</f>
        <v>141603</v>
      </c>
      <c r="I13" s="12">
        <v>0</v>
      </c>
      <c r="J13" s="15"/>
      <c r="K13" s="4" t="s">
        <v>29</v>
      </c>
      <c r="L13" s="14"/>
      <c r="M13" s="14"/>
      <c r="N13" s="14">
        <f>Tabel1[[#This Row],[Antal dyr i Kommunen 2018]]*Tabel1[[#This Row],[Gødning (g) pr. dyr (ton)]]</f>
        <v>0</v>
      </c>
      <c r="O13" s="14">
        <v>1.1000000000000001</v>
      </c>
      <c r="P13" s="14">
        <v>0.34599999999999997</v>
      </c>
      <c r="Q13" s="7">
        <v>265</v>
      </c>
      <c r="R13" s="7">
        <v>265</v>
      </c>
      <c r="S13" s="13">
        <f t="shared" si="0"/>
        <v>104.22704931506848</v>
      </c>
      <c r="T13" s="9">
        <f t="shared" si="1"/>
        <v>221.06082191780823</v>
      </c>
      <c r="U13" s="7">
        <v>17</v>
      </c>
      <c r="V13" s="7">
        <v>0.18</v>
      </c>
      <c r="W13" s="9">
        <f t="shared" si="2"/>
        <v>6.6690519360164391</v>
      </c>
      <c r="X13" s="79">
        <f>(W13*I13)/1000</f>
        <v>0</v>
      </c>
      <c r="Z13" s="8"/>
    </row>
    <row r="14" spans="1:26" hidden="1" x14ac:dyDescent="0.25">
      <c r="A14" s="25" t="s">
        <v>45</v>
      </c>
      <c r="B14" s="78">
        <v>1403</v>
      </c>
      <c r="C14" s="4" t="s">
        <v>70</v>
      </c>
      <c r="D14" s="4" t="s">
        <v>161</v>
      </c>
      <c r="E14" s="4" t="s">
        <v>8</v>
      </c>
      <c r="F14" s="4" t="s">
        <v>155</v>
      </c>
      <c r="G14" s="4">
        <v>140301</v>
      </c>
      <c r="H14" s="4">
        <f>Tabel1[[#This Row],[Stald_kode]]+Tabel1[[#This Row],[Dyr_Kode]]</f>
        <v>141704</v>
      </c>
      <c r="I14" s="12">
        <v>0</v>
      </c>
      <c r="J14" s="15"/>
      <c r="K14" s="4" t="s">
        <v>29</v>
      </c>
      <c r="L14" s="14"/>
      <c r="M14" s="14"/>
      <c r="N14" s="14">
        <f>Tabel1[[#This Row],[Antal dyr i Kommunen 2018]]*Tabel1[[#This Row],[Gødning (g) pr. dyr (ton)]]</f>
        <v>0</v>
      </c>
      <c r="O14" s="14">
        <v>1.1299999999999999</v>
      </c>
      <c r="P14" s="14">
        <v>0.34599999999999997</v>
      </c>
      <c r="Q14" s="7">
        <v>265</v>
      </c>
      <c r="R14" s="7">
        <v>265</v>
      </c>
      <c r="S14" s="13">
        <f t="shared" si="0"/>
        <v>107.06960520547945</v>
      </c>
      <c r="T14" s="9">
        <f t="shared" si="1"/>
        <v>227.08975342465752</v>
      </c>
      <c r="U14" s="7">
        <v>17</v>
      </c>
      <c r="V14" s="7">
        <v>0.18</v>
      </c>
      <c r="W14" s="9">
        <f t="shared" si="2"/>
        <v>6.8509351706350676</v>
      </c>
      <c r="X14" s="79">
        <f>((I14*W14))/1000</f>
        <v>0</v>
      </c>
      <c r="Z14" s="8"/>
    </row>
    <row r="15" spans="1:26" hidden="1" x14ac:dyDescent="0.25">
      <c r="A15" s="25" t="s">
        <v>45</v>
      </c>
      <c r="B15" s="78">
        <v>1401</v>
      </c>
      <c r="C15" s="4" t="s">
        <v>74</v>
      </c>
      <c r="D15" s="4" t="s">
        <v>161</v>
      </c>
      <c r="E15" s="4" t="s">
        <v>6</v>
      </c>
      <c r="F15" s="4" t="s">
        <v>155</v>
      </c>
      <c r="G15" s="4">
        <v>140101</v>
      </c>
      <c r="H15" s="4">
        <f>Tabel1[[#This Row],[Stald_kode]]+Tabel1[[#This Row],[Dyr_Kode]]</f>
        <v>141502</v>
      </c>
      <c r="I15" s="12">
        <v>0</v>
      </c>
      <c r="J15" s="15"/>
      <c r="K15" s="4" t="s">
        <v>29</v>
      </c>
      <c r="L15" s="14"/>
      <c r="M15" s="14"/>
      <c r="N15" s="14">
        <f>Tabel1[[#This Row],[Antal dyr i Kommunen 2018]]*Tabel1[[#This Row],[Gødning (g) pr. dyr (ton)]]</f>
        <v>0</v>
      </c>
      <c r="O15" s="14">
        <v>1.21</v>
      </c>
      <c r="P15" s="14">
        <v>0.34599999999999997</v>
      </c>
      <c r="Q15" s="7">
        <v>265</v>
      </c>
      <c r="R15" s="7">
        <v>265</v>
      </c>
      <c r="S15" s="13">
        <f t="shared" si="0"/>
        <v>114.64975424657534</v>
      </c>
      <c r="T15" s="9">
        <f t="shared" si="1"/>
        <v>243.16690410958904</v>
      </c>
      <c r="U15" s="7">
        <v>17</v>
      </c>
      <c r="V15" s="7">
        <v>0.18</v>
      </c>
      <c r="W15" s="9">
        <f t="shared" si="2"/>
        <v>7.3359571296180821</v>
      </c>
      <c r="X15" s="79">
        <f t="shared" ref="X15:X20" si="3">(W15*I15)/1000</f>
        <v>0</v>
      </c>
      <c r="Z15" s="8"/>
    </row>
    <row r="16" spans="1:26" hidden="1" x14ac:dyDescent="0.25">
      <c r="A16" s="25" t="s">
        <v>197</v>
      </c>
      <c r="B16" s="78">
        <v>3400</v>
      </c>
      <c r="C16" s="4" t="s">
        <v>128</v>
      </c>
      <c r="D16" s="4" t="s">
        <v>149</v>
      </c>
      <c r="E16" s="4" t="s">
        <v>73</v>
      </c>
      <c r="F16" s="4" t="s">
        <v>159</v>
      </c>
      <c r="G16" s="4">
        <v>340001</v>
      </c>
      <c r="H16" s="4">
        <f>Tabel1[[#This Row],[Stald_kode]]+Tabel1[[#This Row],[Dyr_Kode]]</f>
        <v>343401</v>
      </c>
      <c r="I16" s="12">
        <v>0</v>
      </c>
      <c r="J16" s="15"/>
      <c r="K16" s="4" t="s">
        <v>29</v>
      </c>
      <c r="L16" s="14"/>
      <c r="M16" s="14"/>
      <c r="N16" s="14">
        <f>Tabel1[[#This Row],[Antal dyr i Kommunen 2018]]*Tabel1[[#This Row],[Gødning (g) pr. dyr (ton)]]</f>
        <v>0</v>
      </c>
      <c r="O16" s="14">
        <v>1.96</v>
      </c>
      <c r="P16" s="14">
        <v>0.35</v>
      </c>
      <c r="Q16" s="87">
        <v>0</v>
      </c>
      <c r="R16" s="87">
        <v>0</v>
      </c>
      <c r="S16" s="13">
        <f t="shared" si="0"/>
        <v>685.69129999999996</v>
      </c>
      <c r="T16" s="9">
        <f t="shared" si="1"/>
        <v>0</v>
      </c>
      <c r="U16" s="7">
        <v>1.5</v>
      </c>
      <c r="V16" s="7">
        <v>0.36</v>
      </c>
      <c r="W16" s="9">
        <f t="shared" si="2"/>
        <v>2.4808311234000002</v>
      </c>
      <c r="X16" s="79">
        <f t="shared" si="3"/>
        <v>0</v>
      </c>
      <c r="Z16" s="8"/>
    </row>
    <row r="17" spans="1:26" hidden="1" x14ac:dyDescent="0.25">
      <c r="A17" s="25" t="s">
        <v>42</v>
      </c>
      <c r="B17" s="78">
        <v>1102</v>
      </c>
      <c r="C17" s="4" t="s">
        <v>56</v>
      </c>
      <c r="D17" s="4" t="s">
        <v>42</v>
      </c>
      <c r="E17" s="4" t="s">
        <v>87</v>
      </c>
      <c r="F17" s="4" t="s">
        <v>155</v>
      </c>
      <c r="G17" s="4">
        <v>110201</v>
      </c>
      <c r="H17" s="4">
        <f>Tabel1[[#This Row],[Stald_kode]]+Tabel1[[#This Row],[Dyr_Kode]]</f>
        <v>111303</v>
      </c>
      <c r="I17" s="12">
        <v>277.02</v>
      </c>
      <c r="J17" s="15"/>
      <c r="K17" s="4" t="s">
        <v>29</v>
      </c>
      <c r="L17" s="14"/>
      <c r="M17" s="14"/>
      <c r="N17" s="14">
        <f>Tabel1[[#This Row],[Antal dyr i Kommunen 2018]]*Tabel1[[#This Row],[Gødning (g) pr. dyr (ton)]]</f>
        <v>0</v>
      </c>
      <c r="O17" s="14">
        <v>4.62</v>
      </c>
      <c r="P17" s="14">
        <v>0.26</v>
      </c>
      <c r="Q17" s="7">
        <v>183</v>
      </c>
      <c r="R17" s="7">
        <v>183</v>
      </c>
      <c r="S17" s="13">
        <f t="shared" si="0"/>
        <v>598.68499101369866</v>
      </c>
      <c r="T17" s="9">
        <f t="shared" si="1"/>
        <v>481.79638356164389</v>
      </c>
      <c r="U17" s="7">
        <v>2</v>
      </c>
      <c r="V17" s="7">
        <v>0.3</v>
      </c>
      <c r="W17" s="9">
        <f t="shared" si="2"/>
        <v>4.3435351257928776</v>
      </c>
      <c r="X17" s="79">
        <f t="shared" si="3"/>
        <v>1.2032461005471426</v>
      </c>
      <c r="Z17" s="8"/>
    </row>
    <row r="18" spans="1:26" hidden="1" x14ac:dyDescent="0.25">
      <c r="A18" s="25" t="s">
        <v>42</v>
      </c>
      <c r="B18" s="78">
        <v>1103</v>
      </c>
      <c r="C18" s="4" t="s">
        <v>57</v>
      </c>
      <c r="D18" s="4" t="s">
        <v>42</v>
      </c>
      <c r="E18" s="4" t="s">
        <v>88</v>
      </c>
      <c r="F18" s="4" t="s">
        <v>155</v>
      </c>
      <c r="G18" s="4">
        <v>110301</v>
      </c>
      <c r="H18" s="4">
        <f>Tabel1[[#This Row],[Stald_kode]]+Tabel1[[#This Row],[Dyr_Kode]]</f>
        <v>111404</v>
      </c>
      <c r="I18" s="12">
        <v>26.5</v>
      </c>
      <c r="J18" s="15"/>
      <c r="K18" s="4" t="s">
        <v>29</v>
      </c>
      <c r="L18" s="14"/>
      <c r="M18" s="14"/>
      <c r="N18" s="14">
        <f>Tabel1[[#This Row],[Antal dyr i Kommunen 2018]]*Tabel1[[#This Row],[Gødning (g) pr. dyr (ton)]]</f>
        <v>0</v>
      </c>
      <c r="O18" s="14">
        <v>5.13</v>
      </c>
      <c r="P18" s="14">
        <v>0.26</v>
      </c>
      <c r="Q18" s="7">
        <v>183</v>
      </c>
      <c r="R18" s="7">
        <v>183</v>
      </c>
      <c r="S18" s="13">
        <f t="shared" si="0"/>
        <v>664.77359391780828</v>
      </c>
      <c r="T18" s="9">
        <f t="shared" si="1"/>
        <v>534.98169863013698</v>
      </c>
      <c r="U18" s="7">
        <v>2</v>
      </c>
      <c r="V18" s="7">
        <v>0.3</v>
      </c>
      <c r="W18" s="9">
        <f t="shared" si="2"/>
        <v>4.8230162760427397</v>
      </c>
      <c r="X18" s="79">
        <f t="shared" si="3"/>
        <v>0.1278099313151326</v>
      </c>
      <c r="Z18" s="8"/>
    </row>
    <row r="19" spans="1:26" hidden="1" x14ac:dyDescent="0.25">
      <c r="A19" s="25" t="s">
        <v>42</v>
      </c>
      <c r="B19" s="78">
        <v>1104</v>
      </c>
      <c r="C19" s="4" t="s">
        <v>68</v>
      </c>
      <c r="D19" s="4" t="s">
        <v>42</v>
      </c>
      <c r="E19" s="4" t="s">
        <v>107</v>
      </c>
      <c r="F19" s="4" t="s">
        <v>155</v>
      </c>
      <c r="G19" s="4">
        <v>110401</v>
      </c>
      <c r="H19" s="4">
        <f>Tabel1[[#This Row],[Stald_kode]]+Tabel1[[#This Row],[Dyr_Kode]]</f>
        <v>111505</v>
      </c>
      <c r="I19" s="12">
        <v>0</v>
      </c>
      <c r="J19" s="15"/>
      <c r="K19" s="4" t="s">
        <v>29</v>
      </c>
      <c r="L19" s="14"/>
      <c r="M19" s="14"/>
      <c r="N19" s="14">
        <f>Tabel1[[#This Row],[Antal dyr i Kommunen 2018]]*Tabel1[[#This Row],[Gødning (g) pr. dyr (ton)]]</f>
        <v>0</v>
      </c>
      <c r="O19" s="14">
        <v>5.75</v>
      </c>
      <c r="P19" s="14">
        <v>0.26</v>
      </c>
      <c r="Q19" s="7">
        <v>183</v>
      </c>
      <c r="R19" s="7">
        <v>183</v>
      </c>
      <c r="S19" s="13">
        <f t="shared" si="0"/>
        <v>745.11660136986302</v>
      </c>
      <c r="T19" s="9">
        <f t="shared" si="1"/>
        <v>599.63835616438359</v>
      </c>
      <c r="U19" s="7">
        <v>2</v>
      </c>
      <c r="V19" s="7">
        <v>0.3</v>
      </c>
      <c r="W19" s="9">
        <f t="shared" si="2"/>
        <v>5.4059149292876718</v>
      </c>
      <c r="X19" s="79">
        <f t="shared" si="3"/>
        <v>0</v>
      </c>
      <c r="Z19" s="8"/>
    </row>
    <row r="20" spans="1:26" hidden="1" x14ac:dyDescent="0.25">
      <c r="A20" s="25" t="s">
        <v>42</v>
      </c>
      <c r="B20" s="78">
        <v>1101</v>
      </c>
      <c r="C20" s="4" t="s">
        <v>63</v>
      </c>
      <c r="D20" s="4" t="s">
        <v>42</v>
      </c>
      <c r="E20" s="4" t="s">
        <v>100</v>
      </c>
      <c r="F20" s="4" t="s">
        <v>155</v>
      </c>
      <c r="G20" s="4">
        <v>110101</v>
      </c>
      <c r="H20" s="4">
        <f>Tabel1[[#This Row],[Stald_kode]]+Tabel1[[#This Row],[Dyr_Kode]]</f>
        <v>111202</v>
      </c>
      <c r="I20" s="12">
        <v>15.21</v>
      </c>
      <c r="J20" s="15"/>
      <c r="K20" s="4" t="s">
        <v>29</v>
      </c>
      <c r="L20" s="14"/>
      <c r="M20" s="14"/>
      <c r="N20" s="14">
        <f>Tabel1[[#This Row],[Antal dyr i Kommunen 2018]]*Tabel1[[#This Row],[Gødning (g) pr. dyr (ton)]]</f>
        <v>0</v>
      </c>
      <c r="O20" s="14">
        <v>2.97</v>
      </c>
      <c r="P20" s="14">
        <v>0.26</v>
      </c>
      <c r="Q20" s="7">
        <v>183</v>
      </c>
      <c r="R20" s="7">
        <v>183</v>
      </c>
      <c r="S20" s="13">
        <f t="shared" si="0"/>
        <v>384.86892279452059</v>
      </c>
      <c r="T20" s="9">
        <f t="shared" si="1"/>
        <v>309.72624657534249</v>
      </c>
      <c r="U20" s="7">
        <v>2</v>
      </c>
      <c r="V20" s="7">
        <v>0.3</v>
      </c>
      <c r="W20" s="9">
        <f t="shared" si="2"/>
        <v>2.7922725808668494</v>
      </c>
      <c r="X20" s="79">
        <f t="shared" si="3"/>
        <v>4.2470465954984785E-2</v>
      </c>
      <c r="Z20" s="8"/>
    </row>
    <row r="21" spans="1:26" hidden="1" x14ac:dyDescent="0.25">
      <c r="A21" s="24" t="s">
        <v>44</v>
      </c>
      <c r="B21" s="86">
        <v>2106</v>
      </c>
      <c r="C21" s="4" t="s">
        <v>209</v>
      </c>
      <c r="D21" s="4" t="s">
        <v>162</v>
      </c>
      <c r="E21" s="4" t="s">
        <v>215</v>
      </c>
      <c r="F21" s="4" t="s">
        <v>155</v>
      </c>
      <c r="G21" s="4">
        <v>210601</v>
      </c>
      <c r="H21" s="4">
        <f>Tabel1[[#This Row],[Stald_kode]]+Tabel1[[#This Row],[Dyr_Kode]]</f>
        <v>212707</v>
      </c>
      <c r="I21" s="12">
        <v>0</v>
      </c>
      <c r="J21" s="4"/>
      <c r="K21" s="4" t="s">
        <v>29</v>
      </c>
      <c r="L21" s="19"/>
      <c r="M21" s="19"/>
      <c r="N21" s="19">
        <f>Tabel1[[#This Row],[Antal dyr i Kommunen 2018]]*Tabel1[[#This Row],[Gødning (g) pr. dyr (ton)]]</f>
        <v>0</v>
      </c>
      <c r="O21" s="19"/>
      <c r="P21" s="19"/>
      <c r="Q21" s="87"/>
      <c r="R21" s="87"/>
      <c r="S21" s="19"/>
      <c r="T21" s="19"/>
      <c r="U21" s="87"/>
      <c r="V21" s="87"/>
      <c r="W21" s="85">
        <v>0.22</v>
      </c>
      <c r="X21" s="69">
        <f t="shared" ref="X21:X26" si="4">W21*I21</f>
        <v>0</v>
      </c>
      <c r="Z21" s="8"/>
    </row>
    <row r="22" spans="1:26" hidden="1" x14ac:dyDescent="0.25">
      <c r="A22" s="24" t="s">
        <v>44</v>
      </c>
      <c r="B22" s="86">
        <v>2102</v>
      </c>
      <c r="C22" s="4" t="s">
        <v>205</v>
      </c>
      <c r="D22" s="4" t="s">
        <v>162</v>
      </c>
      <c r="E22" s="4" t="s">
        <v>211</v>
      </c>
      <c r="F22" s="4" t="s">
        <v>155</v>
      </c>
      <c r="G22" s="4">
        <v>210201</v>
      </c>
      <c r="H22" s="4">
        <f>Tabel1[[#This Row],[Stald_kode]]+Tabel1[[#This Row],[Dyr_Kode]]</f>
        <v>212303</v>
      </c>
      <c r="I22" s="12">
        <v>0</v>
      </c>
      <c r="J22" s="4"/>
      <c r="K22" s="4" t="s">
        <v>29</v>
      </c>
      <c r="L22" s="19"/>
      <c r="M22" s="19"/>
      <c r="N22" s="19">
        <f>Tabel1[[#This Row],[Antal dyr i Kommunen 2018]]*Tabel1[[#This Row],[Gødning (g) pr. dyr (ton)]]</f>
        <v>0</v>
      </c>
      <c r="O22" s="19"/>
      <c r="P22" s="19"/>
      <c r="Q22" s="87"/>
      <c r="R22" s="87"/>
      <c r="S22" s="90">
        <f t="shared" ref="S22:S86" si="5">(L22*1000)/365*M22*(365-Q22)*0.8+(O22*1000)/365*P22*(365-Q22)*(1-0.045/100)</f>
        <v>0</v>
      </c>
      <c r="T22" s="90">
        <f t="shared" ref="T22:T27" si="6">(L22*1000)/365*M22*0.8*Q22</f>
        <v>0</v>
      </c>
      <c r="U22" s="91"/>
      <c r="V22" s="87"/>
      <c r="W22" s="85">
        <v>0.22</v>
      </c>
      <c r="X22" s="69">
        <f t="shared" si="4"/>
        <v>0</v>
      </c>
      <c r="Z22" s="8"/>
    </row>
    <row r="23" spans="1:26" hidden="1" x14ac:dyDescent="0.25">
      <c r="A23" s="24" t="s">
        <v>44</v>
      </c>
      <c r="B23" s="86">
        <v>2101</v>
      </c>
      <c r="C23" s="4" t="s">
        <v>204</v>
      </c>
      <c r="D23" s="4" t="s">
        <v>162</v>
      </c>
      <c r="E23" s="4" t="s">
        <v>210</v>
      </c>
      <c r="F23" s="4" t="s">
        <v>155</v>
      </c>
      <c r="G23" s="4">
        <v>210101</v>
      </c>
      <c r="H23" s="4">
        <f>Tabel1[[#This Row],[Stald_kode]]+Tabel1[[#This Row],[Dyr_Kode]]</f>
        <v>212202</v>
      </c>
      <c r="I23" s="12">
        <v>0</v>
      </c>
      <c r="J23" s="4"/>
      <c r="K23" s="4" t="s">
        <v>29</v>
      </c>
      <c r="L23" s="19"/>
      <c r="M23" s="19"/>
      <c r="N23" s="19">
        <f>Tabel1[[#This Row],[Antal dyr i Kommunen 2018]]*Tabel1[[#This Row],[Gødning (g) pr. dyr (ton)]]</f>
        <v>0</v>
      </c>
      <c r="O23" s="19"/>
      <c r="P23" s="19"/>
      <c r="Q23" s="87"/>
      <c r="R23" s="87"/>
      <c r="S23" s="90">
        <f t="shared" si="5"/>
        <v>0</v>
      </c>
      <c r="T23" s="90">
        <f t="shared" si="6"/>
        <v>0</v>
      </c>
      <c r="U23" s="91"/>
      <c r="V23" s="87"/>
      <c r="W23" s="85">
        <v>0.22</v>
      </c>
      <c r="X23" s="69">
        <f t="shared" si="4"/>
        <v>0</v>
      </c>
      <c r="Z23" s="8"/>
    </row>
    <row r="24" spans="1:26" hidden="1" x14ac:dyDescent="0.25">
      <c r="A24" s="24" t="s">
        <v>44</v>
      </c>
      <c r="B24" s="86">
        <v>2104</v>
      </c>
      <c r="C24" s="4" t="s">
        <v>207</v>
      </c>
      <c r="D24" s="4" t="s">
        <v>162</v>
      </c>
      <c r="E24" s="4" t="s">
        <v>213</v>
      </c>
      <c r="F24" s="4" t="s">
        <v>155</v>
      </c>
      <c r="G24" s="4">
        <v>210401</v>
      </c>
      <c r="H24" s="4">
        <f>Tabel1[[#This Row],[Stald_kode]]+Tabel1[[#This Row],[Dyr_Kode]]</f>
        <v>212505</v>
      </c>
      <c r="I24" s="12">
        <v>0</v>
      </c>
      <c r="J24" s="4"/>
      <c r="K24" s="4" t="s">
        <v>29</v>
      </c>
      <c r="L24" s="19"/>
      <c r="M24" s="19"/>
      <c r="N24" s="19">
        <f>Tabel1[[#This Row],[Antal dyr i Kommunen 2018]]*Tabel1[[#This Row],[Gødning (g) pr. dyr (ton)]]</f>
        <v>0</v>
      </c>
      <c r="O24" s="19"/>
      <c r="P24" s="19"/>
      <c r="Q24" s="87"/>
      <c r="R24" s="87"/>
      <c r="S24" s="90">
        <f t="shared" si="5"/>
        <v>0</v>
      </c>
      <c r="T24" s="90">
        <f t="shared" si="6"/>
        <v>0</v>
      </c>
      <c r="U24" s="91"/>
      <c r="V24" s="87"/>
      <c r="W24" s="85">
        <v>0.22</v>
      </c>
      <c r="X24" s="69">
        <f t="shared" si="4"/>
        <v>0</v>
      </c>
      <c r="Z24" s="8"/>
    </row>
    <row r="25" spans="1:26" hidden="1" x14ac:dyDescent="0.25">
      <c r="A25" s="24" t="s">
        <v>44</v>
      </c>
      <c r="B25" s="86">
        <v>2103</v>
      </c>
      <c r="C25" s="4" t="s">
        <v>206</v>
      </c>
      <c r="D25" s="4" t="s">
        <v>162</v>
      </c>
      <c r="E25" s="4" t="s">
        <v>212</v>
      </c>
      <c r="F25" s="4" t="s">
        <v>155</v>
      </c>
      <c r="G25" s="4">
        <v>210301</v>
      </c>
      <c r="H25" s="4">
        <f>Tabel1[[#This Row],[Stald_kode]]+Tabel1[[#This Row],[Dyr_Kode]]</f>
        <v>212404</v>
      </c>
      <c r="I25" s="12">
        <v>0</v>
      </c>
      <c r="J25" s="4"/>
      <c r="K25" s="4" t="s">
        <v>29</v>
      </c>
      <c r="L25" s="19"/>
      <c r="M25" s="19"/>
      <c r="N25" s="19">
        <f>Tabel1[[#This Row],[Antal dyr i Kommunen 2018]]*Tabel1[[#This Row],[Gødning (g) pr. dyr (ton)]]</f>
        <v>0</v>
      </c>
      <c r="O25" s="19"/>
      <c r="P25" s="19"/>
      <c r="Q25" s="87"/>
      <c r="R25" s="87"/>
      <c r="S25" s="90">
        <f t="shared" si="5"/>
        <v>0</v>
      </c>
      <c r="T25" s="90">
        <f t="shared" si="6"/>
        <v>0</v>
      </c>
      <c r="U25" s="91"/>
      <c r="V25" s="87"/>
      <c r="W25" s="85">
        <v>0.22</v>
      </c>
      <c r="X25" s="69">
        <f t="shared" si="4"/>
        <v>0</v>
      </c>
      <c r="Z25" s="8"/>
    </row>
    <row r="26" spans="1:26" hidden="1" x14ac:dyDescent="0.25">
      <c r="A26" s="24" t="s">
        <v>44</v>
      </c>
      <c r="B26" s="86">
        <v>2105</v>
      </c>
      <c r="C26" s="4" t="s">
        <v>208</v>
      </c>
      <c r="D26" s="4" t="s">
        <v>162</v>
      </c>
      <c r="E26" s="4" t="s">
        <v>214</v>
      </c>
      <c r="F26" s="4" t="s">
        <v>155</v>
      </c>
      <c r="G26" s="4">
        <v>210501</v>
      </c>
      <c r="H26" s="4">
        <f>Tabel1[[#This Row],[Stald_kode]]+Tabel1[[#This Row],[Dyr_Kode]]</f>
        <v>212606</v>
      </c>
      <c r="I26" s="12">
        <v>0</v>
      </c>
      <c r="J26" s="4"/>
      <c r="K26" s="4" t="s">
        <v>29</v>
      </c>
      <c r="L26" s="19"/>
      <c r="M26" s="19"/>
      <c r="N26" s="19">
        <f>Tabel1[[#This Row],[Antal dyr i Kommunen 2018]]*Tabel1[[#This Row],[Gødning (g) pr. dyr (ton)]]</f>
        <v>0</v>
      </c>
      <c r="O26" s="19"/>
      <c r="P26" s="19"/>
      <c r="Q26" s="87"/>
      <c r="R26" s="87"/>
      <c r="S26" s="90">
        <f t="shared" si="5"/>
        <v>0</v>
      </c>
      <c r="T26" s="90">
        <f t="shared" si="6"/>
        <v>0</v>
      </c>
      <c r="U26" s="91"/>
      <c r="V26" s="87"/>
      <c r="W26" s="85">
        <v>0.22</v>
      </c>
      <c r="X26" s="69">
        <f t="shared" si="4"/>
        <v>0</v>
      </c>
      <c r="Z26" s="8"/>
    </row>
    <row r="27" spans="1:26" hidden="1" x14ac:dyDescent="0.25">
      <c r="A27" s="24" t="s">
        <v>44</v>
      </c>
      <c r="B27" s="86">
        <v>2401</v>
      </c>
      <c r="C27" s="4" t="s">
        <v>243</v>
      </c>
      <c r="D27" s="4" t="s">
        <v>162</v>
      </c>
      <c r="E27" s="4" t="s">
        <v>244</v>
      </c>
      <c r="F27" s="4" t="s">
        <v>155</v>
      </c>
      <c r="G27" s="28">
        <v>240101</v>
      </c>
      <c r="H27" s="112">
        <f>Tabel1[[#This Row],[Stald_kode]]+Tabel1[[#This Row],[Dyr_Kode]]</f>
        <v>242502</v>
      </c>
      <c r="I27" s="12">
        <v>0</v>
      </c>
      <c r="J27" s="4"/>
      <c r="K27" s="4" t="s">
        <v>29</v>
      </c>
      <c r="L27" s="85"/>
      <c r="M27" s="85"/>
      <c r="N27" s="85">
        <f>Tabel1[[#This Row],[Antal dyr i Kommunen 2018]]*Tabel1[[#This Row],[Gødning (g) pr. dyr (ton)]]</f>
        <v>0</v>
      </c>
      <c r="O27" s="85"/>
      <c r="P27" s="85"/>
      <c r="Q27" s="87"/>
      <c r="R27" s="87"/>
      <c r="S27" s="90">
        <f>(L27*1000)/365*M27*(365-Q27)*0.8+(O27*1000)/365*P27*(365-Q27)*(1-0.045/100)</f>
        <v>0</v>
      </c>
      <c r="T27" s="90">
        <f t="shared" si="6"/>
        <v>0</v>
      </c>
      <c r="U27" s="91"/>
      <c r="V27" s="87"/>
      <c r="W27" s="13">
        <f>(S27*U27/100*0.67*V27)+(T27*U27/100*0.67*V27)</f>
        <v>0</v>
      </c>
      <c r="X27" s="69">
        <f>W27*I27</f>
        <v>0</v>
      </c>
      <c r="Z27" s="8"/>
    </row>
    <row r="28" spans="1:26" hidden="1" x14ac:dyDescent="0.25">
      <c r="A28" s="25" t="s">
        <v>196</v>
      </c>
      <c r="B28" s="78">
        <v>3295</v>
      </c>
      <c r="C28" s="4" t="s">
        <v>148</v>
      </c>
      <c r="D28" s="4" t="s">
        <v>149</v>
      </c>
      <c r="E28" s="4" t="s">
        <v>114</v>
      </c>
      <c r="F28" s="4" t="s">
        <v>155</v>
      </c>
      <c r="G28" s="4">
        <v>329501</v>
      </c>
      <c r="H28" s="4">
        <f>Tabel1[[#This Row],[Stald_kode]]+Tabel1[[#This Row],[Dyr_Kode]]</f>
        <v>332796</v>
      </c>
      <c r="I28" s="12">
        <v>0</v>
      </c>
      <c r="J28" s="15"/>
      <c r="K28" s="4" t="s">
        <v>29</v>
      </c>
      <c r="L28" s="14"/>
      <c r="M28" s="14"/>
      <c r="N28" s="14">
        <f>Tabel1[[#This Row],[Antal dyr i Kommunen 2018]]*Tabel1[[#This Row],[Gødning (g) pr. dyr (ton)]]</f>
        <v>0</v>
      </c>
      <c r="O28" s="14">
        <f>0.15/100</f>
        <v>1.5E-3</v>
      </c>
      <c r="P28" s="14">
        <v>0.48</v>
      </c>
      <c r="Q28" s="7">
        <v>0</v>
      </c>
      <c r="R28" s="7">
        <v>0</v>
      </c>
      <c r="S28" s="13">
        <f t="shared" si="5"/>
        <v>0.71967599999999998</v>
      </c>
      <c r="T28" s="9">
        <f t="shared" ref="T28:T36" si="7">(O28*1000)/365*P28*0.8*Q28</f>
        <v>0</v>
      </c>
      <c r="U28" s="7">
        <v>1.5</v>
      </c>
      <c r="V28" s="7">
        <v>0.39</v>
      </c>
      <c r="W28" s="9">
        <f t="shared" ref="W28:W91" si="8">(S28*U28/100*0.67*V28)+(T28*U28/100*0.67*V28)</f>
        <v>2.8207700820000008E-3</v>
      </c>
      <c r="X28" s="79">
        <f t="shared" ref="X28:X38" si="9">(W28*I28)/1000</f>
        <v>0</v>
      </c>
      <c r="Z28" s="8"/>
    </row>
    <row r="29" spans="1:26" hidden="1" x14ac:dyDescent="0.25">
      <c r="A29" s="25" t="s">
        <v>196</v>
      </c>
      <c r="B29" s="78">
        <v>3256</v>
      </c>
      <c r="C29" s="4" t="s">
        <v>130</v>
      </c>
      <c r="D29" s="105" t="s">
        <v>149</v>
      </c>
      <c r="E29" s="105" t="s">
        <v>112</v>
      </c>
      <c r="F29" s="4" t="s">
        <v>155</v>
      </c>
      <c r="G29" s="4">
        <v>325601</v>
      </c>
      <c r="H29" s="4">
        <f>Tabel1[[#This Row],[Stald_kode]]+Tabel1[[#This Row],[Dyr_Kode]]</f>
        <v>328857</v>
      </c>
      <c r="I29" s="12">
        <v>0</v>
      </c>
      <c r="J29" s="15"/>
      <c r="K29" s="4" t="s">
        <v>29</v>
      </c>
      <c r="L29" s="14"/>
      <c r="M29" s="14"/>
      <c r="N29" s="14">
        <f>Tabel1[[#This Row],[Antal dyr i Kommunen 2018]]*Tabel1[[#This Row],[Gødning (g) pr. dyr (ton)]]</f>
        <v>0</v>
      </c>
      <c r="O29" s="14">
        <f>1.57/1000</f>
        <v>1.57E-3</v>
      </c>
      <c r="P29" s="14">
        <v>0.48</v>
      </c>
      <c r="Q29" s="87">
        <v>0</v>
      </c>
      <c r="R29" s="87">
        <v>0</v>
      </c>
      <c r="S29" s="13">
        <f t="shared" si="5"/>
        <v>0.75326088000000013</v>
      </c>
      <c r="T29" s="9">
        <f t="shared" si="7"/>
        <v>0</v>
      </c>
      <c r="U29" s="7">
        <v>1.5</v>
      </c>
      <c r="V29" s="7">
        <v>0.36</v>
      </c>
      <c r="W29" s="9">
        <f t="shared" si="8"/>
        <v>2.7252978638400011E-3</v>
      </c>
      <c r="X29" s="79">
        <f t="shared" si="9"/>
        <v>0</v>
      </c>
      <c r="Z29" s="8"/>
    </row>
    <row r="30" spans="1:26" hidden="1" x14ac:dyDescent="0.25">
      <c r="A30" s="25" t="s">
        <v>196</v>
      </c>
      <c r="B30" s="78">
        <v>3230</v>
      </c>
      <c r="C30" s="4" t="s">
        <v>131</v>
      </c>
      <c r="D30" s="84" t="s">
        <v>149</v>
      </c>
      <c r="E30" s="84" t="s">
        <v>113</v>
      </c>
      <c r="F30" s="4" t="s">
        <v>155</v>
      </c>
      <c r="G30" s="4">
        <v>323001</v>
      </c>
      <c r="H30" s="4">
        <f>Tabel1[[#This Row],[Stald_kode]]+Tabel1[[#This Row],[Dyr_Kode]]</f>
        <v>326231</v>
      </c>
      <c r="I30" s="12">
        <v>0</v>
      </c>
      <c r="J30" s="15"/>
      <c r="K30" s="4" t="s">
        <v>29</v>
      </c>
      <c r="L30" s="14"/>
      <c r="M30" s="14"/>
      <c r="N30" s="14">
        <f>Tabel1[[#This Row],[Antal dyr i Kommunen 2018]]*Tabel1[[#This Row],[Gødning (g) pr. dyr (ton)]]</f>
        <v>0</v>
      </c>
      <c r="O30" s="14">
        <f>1.02/1000</f>
        <v>1.0200000000000001E-3</v>
      </c>
      <c r="P30" s="14">
        <v>0.48</v>
      </c>
      <c r="Q30" s="87">
        <v>0</v>
      </c>
      <c r="R30" s="87">
        <v>0</v>
      </c>
      <c r="S30" s="13">
        <f t="shared" si="5"/>
        <v>0.48937968000000004</v>
      </c>
      <c r="T30" s="9">
        <f t="shared" si="7"/>
        <v>0</v>
      </c>
      <c r="U30" s="7">
        <v>1.5</v>
      </c>
      <c r="V30" s="7">
        <v>0.36</v>
      </c>
      <c r="W30" s="9">
        <f t="shared" si="8"/>
        <v>1.7705756822400003E-3</v>
      </c>
      <c r="X30" s="79">
        <f t="shared" si="9"/>
        <v>0</v>
      </c>
      <c r="Z30" s="8"/>
    </row>
    <row r="31" spans="1:26" hidden="1" x14ac:dyDescent="0.25">
      <c r="A31" s="25" t="s">
        <v>196</v>
      </c>
      <c r="B31" s="78">
        <v>3232</v>
      </c>
      <c r="C31" s="4" t="s">
        <v>139</v>
      </c>
      <c r="D31" s="105" t="s">
        <v>149</v>
      </c>
      <c r="E31" s="105" t="s">
        <v>83</v>
      </c>
      <c r="F31" s="4" t="s">
        <v>155</v>
      </c>
      <c r="G31" s="4">
        <v>323201</v>
      </c>
      <c r="H31" s="4">
        <f>Tabel1[[#This Row],[Stald_kode]]+Tabel1[[#This Row],[Dyr_Kode]]</f>
        <v>326433</v>
      </c>
      <c r="I31" s="12">
        <v>0</v>
      </c>
      <c r="J31" s="15"/>
      <c r="K31" s="4" t="s">
        <v>29</v>
      </c>
      <c r="L31" s="14"/>
      <c r="M31" s="14"/>
      <c r="N31" s="14">
        <f>Tabel1[[#This Row],[Antal dyr i Kommunen 2018]]*Tabel1[[#This Row],[Gødning (g) pr. dyr (ton)]]</f>
        <v>0</v>
      </c>
      <c r="O31" s="14">
        <f>1.17/1000</f>
        <v>1.17E-3</v>
      </c>
      <c r="P31" s="14">
        <v>0.48</v>
      </c>
      <c r="Q31" s="87">
        <v>0</v>
      </c>
      <c r="R31" s="87">
        <v>0</v>
      </c>
      <c r="S31" s="13">
        <f t="shared" si="5"/>
        <v>0.56134728</v>
      </c>
      <c r="T31" s="9">
        <f t="shared" si="7"/>
        <v>0</v>
      </c>
      <c r="U31" s="7">
        <v>1.5</v>
      </c>
      <c r="V31" s="7">
        <v>0.36</v>
      </c>
      <c r="W31" s="9">
        <f t="shared" si="8"/>
        <v>2.0309544590399998E-3</v>
      </c>
      <c r="X31" s="79">
        <f t="shared" si="9"/>
        <v>0</v>
      </c>
      <c r="Z31" s="8"/>
    </row>
    <row r="32" spans="1:26" hidden="1" x14ac:dyDescent="0.25">
      <c r="A32" s="25" t="s">
        <v>196</v>
      </c>
      <c r="B32" s="78">
        <v>3235</v>
      </c>
      <c r="C32" s="4" t="s">
        <v>140</v>
      </c>
      <c r="D32" s="84" t="s">
        <v>149</v>
      </c>
      <c r="E32" s="84" t="s">
        <v>84</v>
      </c>
      <c r="F32" s="4" t="s">
        <v>155</v>
      </c>
      <c r="G32" s="4">
        <v>323501</v>
      </c>
      <c r="H32" s="4">
        <f>Tabel1[[#This Row],[Stald_kode]]+Tabel1[[#This Row],[Dyr_Kode]]</f>
        <v>326736</v>
      </c>
      <c r="I32" s="12">
        <v>0</v>
      </c>
      <c r="J32" s="15"/>
      <c r="K32" s="4" t="s">
        <v>29</v>
      </c>
      <c r="L32" s="14"/>
      <c r="M32" s="14"/>
      <c r="N32" s="14">
        <f>Tabel1[[#This Row],[Antal dyr i Kommunen 2018]]*Tabel1[[#This Row],[Gødning (g) pr. dyr (ton)]]</f>
        <v>0</v>
      </c>
      <c r="O32" s="14">
        <f>1.39/1000</f>
        <v>1.39E-3</v>
      </c>
      <c r="P32" s="14">
        <v>0.48</v>
      </c>
      <c r="Q32" s="87">
        <v>0</v>
      </c>
      <c r="R32" s="87">
        <v>0</v>
      </c>
      <c r="S32" s="13">
        <f t="shared" si="5"/>
        <v>0.66689975999999995</v>
      </c>
      <c r="T32" s="9">
        <f t="shared" si="7"/>
        <v>0</v>
      </c>
      <c r="U32" s="7">
        <v>1.5</v>
      </c>
      <c r="V32" s="7">
        <v>0.36</v>
      </c>
      <c r="W32" s="9">
        <f t="shared" si="8"/>
        <v>2.4128433316800003E-3</v>
      </c>
      <c r="X32" s="79">
        <f t="shared" si="9"/>
        <v>0</v>
      </c>
      <c r="Z32" s="8"/>
    </row>
    <row r="33" spans="1:26" hidden="1" x14ac:dyDescent="0.25">
      <c r="A33" s="25" t="s">
        <v>196</v>
      </c>
      <c r="B33" s="78">
        <v>3240</v>
      </c>
      <c r="C33" s="4" t="s">
        <v>137</v>
      </c>
      <c r="D33" s="105" t="s">
        <v>149</v>
      </c>
      <c r="E33" s="105" t="s">
        <v>96</v>
      </c>
      <c r="F33" s="4" t="s">
        <v>155</v>
      </c>
      <c r="G33" s="4">
        <v>324001</v>
      </c>
      <c r="H33" s="4">
        <f>Tabel1[[#This Row],[Stald_kode]]+Tabel1[[#This Row],[Dyr_Kode]]</f>
        <v>327241</v>
      </c>
      <c r="I33" s="12">
        <v>0</v>
      </c>
      <c r="J33" s="15"/>
      <c r="K33" s="4" t="s">
        <v>29</v>
      </c>
      <c r="L33" s="14"/>
      <c r="M33" s="14"/>
      <c r="N33" s="14">
        <f>Tabel1[[#This Row],[Antal dyr i Kommunen 2018]]*Tabel1[[#This Row],[Gødning (g) pr. dyr (ton)]]</f>
        <v>0</v>
      </c>
      <c r="O33" s="14">
        <f>1.79/1000</f>
        <v>1.7900000000000001E-3</v>
      </c>
      <c r="P33" s="14">
        <v>0.48</v>
      </c>
      <c r="Q33" s="87">
        <v>0</v>
      </c>
      <c r="R33" s="87">
        <v>0</v>
      </c>
      <c r="S33" s="13">
        <f t="shared" si="5"/>
        <v>0.85881335999999997</v>
      </c>
      <c r="T33" s="9">
        <f t="shared" si="7"/>
        <v>0</v>
      </c>
      <c r="U33" s="7">
        <v>1.5</v>
      </c>
      <c r="V33" s="7">
        <v>0.36</v>
      </c>
      <c r="W33" s="9">
        <f t="shared" si="8"/>
        <v>3.1071867364799999E-3</v>
      </c>
      <c r="X33" s="79">
        <f t="shared" si="9"/>
        <v>0</v>
      </c>
      <c r="Z33" s="8"/>
    </row>
    <row r="34" spans="1:26" hidden="1" x14ac:dyDescent="0.25">
      <c r="A34" s="25" t="s">
        <v>196</v>
      </c>
      <c r="B34" s="88">
        <v>3245</v>
      </c>
      <c r="C34" s="4" t="s">
        <v>236</v>
      </c>
      <c r="D34" s="4" t="s">
        <v>149</v>
      </c>
      <c r="E34" s="4" t="s">
        <v>237</v>
      </c>
      <c r="F34" s="4" t="s">
        <v>155</v>
      </c>
      <c r="G34" s="28">
        <v>324501</v>
      </c>
      <c r="H34" s="28">
        <f>Tabel1[[#This Row],[Stald_kode]]+Tabel1[[#This Row],[Dyr_Kode]]</f>
        <v>327746</v>
      </c>
      <c r="I34" s="12">
        <v>0</v>
      </c>
      <c r="J34" s="4"/>
      <c r="K34" s="4" t="s">
        <v>29</v>
      </c>
      <c r="L34" s="14"/>
      <c r="M34" s="14"/>
      <c r="N34" s="14">
        <f>Tabel1[[#This Row],[Antal dyr i Kommunen 2018]]*Tabel1[[#This Row],[Gødning (g) pr. dyr (ton)]]</f>
        <v>0</v>
      </c>
      <c r="O34" s="14">
        <f>1.79/1000</f>
        <v>1.7900000000000001E-3</v>
      </c>
      <c r="P34" s="14">
        <v>0.48</v>
      </c>
      <c r="Q34" s="87">
        <v>0</v>
      </c>
      <c r="R34" s="87">
        <v>0</v>
      </c>
      <c r="S34" s="13">
        <f t="shared" si="5"/>
        <v>0.85881335999999997</v>
      </c>
      <c r="T34" s="9">
        <f t="shared" si="7"/>
        <v>0</v>
      </c>
      <c r="U34" s="7">
        <v>1.5</v>
      </c>
      <c r="V34" s="7">
        <v>0.36</v>
      </c>
      <c r="W34" s="9">
        <f t="shared" si="8"/>
        <v>3.1071867364799999E-3</v>
      </c>
      <c r="X34" s="79">
        <f t="shared" si="9"/>
        <v>0</v>
      </c>
      <c r="Z34" s="8"/>
    </row>
    <row r="35" spans="1:26" hidden="1" x14ac:dyDescent="0.25">
      <c r="A35" s="25" t="s">
        <v>196</v>
      </c>
      <c r="B35" s="78">
        <v>3290</v>
      </c>
      <c r="C35" s="4" t="s">
        <v>144</v>
      </c>
      <c r="D35" s="4" t="s">
        <v>149</v>
      </c>
      <c r="E35" s="4" t="s">
        <v>94</v>
      </c>
      <c r="F35" s="4" t="s">
        <v>155</v>
      </c>
      <c r="G35" s="4">
        <v>329001</v>
      </c>
      <c r="H35" s="4">
        <f>Tabel1[[#This Row],[Stald_kode]]+Tabel1[[#This Row],[Dyr_Kode]]</f>
        <v>332291</v>
      </c>
      <c r="I35" s="12">
        <v>0</v>
      </c>
      <c r="J35" s="15"/>
      <c r="K35" s="4" t="s">
        <v>29</v>
      </c>
      <c r="L35" s="14"/>
      <c r="M35" s="14"/>
      <c r="N35" s="14">
        <f>Tabel1[[#This Row],[Antal dyr i Kommunen 2018]]*Tabel1[[#This Row],[Gødning (g) pr. dyr (ton)]]</f>
        <v>0</v>
      </c>
      <c r="O35" s="14">
        <f>1.61/100</f>
        <v>1.61E-2</v>
      </c>
      <c r="P35" s="14">
        <v>0.63300000000000001</v>
      </c>
      <c r="Q35" s="87">
        <v>0</v>
      </c>
      <c r="R35" s="87">
        <v>0</v>
      </c>
      <c r="S35" s="13">
        <f t="shared" si="5"/>
        <v>10.186713915000002</v>
      </c>
      <c r="T35" s="9">
        <f t="shared" si="7"/>
        <v>0</v>
      </c>
      <c r="U35" s="7">
        <v>1.5</v>
      </c>
      <c r="V35" s="7">
        <v>0.39</v>
      </c>
      <c r="W35" s="9">
        <f t="shared" si="8"/>
        <v>3.9926825189842516E-2</v>
      </c>
      <c r="X35" s="79">
        <f t="shared" si="9"/>
        <v>0</v>
      </c>
      <c r="Z35" s="8"/>
    </row>
    <row r="36" spans="1:26" hidden="1" x14ac:dyDescent="0.25">
      <c r="A36" s="25" t="s">
        <v>196</v>
      </c>
      <c r="B36" s="78">
        <v>3281</v>
      </c>
      <c r="C36" s="4" t="s">
        <v>136</v>
      </c>
      <c r="D36" s="4" t="s">
        <v>149</v>
      </c>
      <c r="E36" s="4" t="s">
        <v>64</v>
      </c>
      <c r="F36" s="4" t="s">
        <v>155</v>
      </c>
      <c r="G36" s="4">
        <v>328101</v>
      </c>
      <c r="H36" s="4">
        <f>Tabel1[[#This Row],[Stald_kode]]+Tabel1[[#This Row],[Dyr_Kode]]</f>
        <v>331382</v>
      </c>
      <c r="I36" s="12">
        <v>0</v>
      </c>
      <c r="J36" s="15"/>
      <c r="K36" s="4" t="s">
        <v>29</v>
      </c>
      <c r="L36" s="14"/>
      <c r="M36" s="14"/>
      <c r="N36" s="14">
        <f>Tabel1[[#This Row],[Antal dyr i Kommunen 2018]]*Tabel1[[#This Row],[Gødning (g) pr. dyr (ton)]]</f>
        <v>0</v>
      </c>
      <c r="O36" s="14">
        <f>2.09/1000</f>
        <v>2.0899999999999998E-3</v>
      </c>
      <c r="P36" s="14">
        <v>0.5</v>
      </c>
      <c r="Q36" s="87">
        <v>0</v>
      </c>
      <c r="R36" s="87">
        <v>0</v>
      </c>
      <c r="S36" s="13">
        <f t="shared" si="5"/>
        <v>1.0445297499999999</v>
      </c>
      <c r="T36" s="9">
        <f t="shared" si="7"/>
        <v>0</v>
      </c>
      <c r="U36" s="7">
        <v>1.5</v>
      </c>
      <c r="V36" s="7">
        <v>0.36</v>
      </c>
      <c r="W36" s="9">
        <f t="shared" si="8"/>
        <v>3.7791086355000001E-3</v>
      </c>
      <c r="X36" s="79">
        <f t="shared" si="9"/>
        <v>0</v>
      </c>
      <c r="Z36" s="8"/>
    </row>
    <row r="37" spans="1:26" hidden="1" x14ac:dyDescent="0.25">
      <c r="A37" s="25" t="s">
        <v>43</v>
      </c>
      <c r="B37" s="78">
        <v>3104</v>
      </c>
      <c r="C37" s="4" t="s">
        <v>141</v>
      </c>
      <c r="D37" s="4" t="s">
        <v>149</v>
      </c>
      <c r="E37" s="4" t="s">
        <v>89</v>
      </c>
      <c r="F37" s="4" t="s">
        <v>155</v>
      </c>
      <c r="G37" s="4">
        <v>310402</v>
      </c>
      <c r="H37" s="4">
        <f>Tabel1[[#This Row],[Stald_kode]]+Tabel1[[#This Row],[Dyr_Kode]]</f>
        <v>313506</v>
      </c>
      <c r="I37" s="12">
        <v>0</v>
      </c>
      <c r="J37" s="4" t="s">
        <v>124</v>
      </c>
      <c r="K37" s="4"/>
      <c r="L37" s="14">
        <f>2.82/100</f>
        <v>2.8199999999999999E-2</v>
      </c>
      <c r="M37" s="14">
        <v>0.4</v>
      </c>
      <c r="N37" s="14">
        <f>Tabel1[[#This Row],[Antal dyr i Kommunen 2018]]*Tabel1[[#This Row],[Gødning (g) pr. dyr (ton)]]</f>
        <v>0</v>
      </c>
      <c r="O37" s="15"/>
      <c r="P37" s="14"/>
      <c r="Q37" s="7">
        <v>0</v>
      </c>
      <c r="R37" s="14"/>
      <c r="S37" s="13">
        <f t="shared" si="5"/>
        <v>9.0239999999999991</v>
      </c>
      <c r="T37" s="9">
        <f>(L37*1000)/365*M37*0.8*Q37</f>
        <v>0</v>
      </c>
      <c r="U37" s="7">
        <v>1.5</v>
      </c>
      <c r="V37" s="7">
        <v>0.39</v>
      </c>
      <c r="W37" s="9">
        <f t="shared" si="8"/>
        <v>3.5369567999999997E-2</v>
      </c>
      <c r="X37" s="79">
        <f t="shared" si="9"/>
        <v>0</v>
      </c>
      <c r="Z37" s="8"/>
    </row>
    <row r="38" spans="1:26" hidden="1" x14ac:dyDescent="0.25">
      <c r="A38" s="25" t="s">
        <v>43</v>
      </c>
      <c r="B38" s="78">
        <v>3104</v>
      </c>
      <c r="C38" s="4" t="s">
        <v>141</v>
      </c>
      <c r="D38" s="4" t="s">
        <v>149</v>
      </c>
      <c r="E38" s="4" t="s">
        <v>33</v>
      </c>
      <c r="F38" s="4" t="s">
        <v>155</v>
      </c>
      <c r="G38" s="4">
        <v>310403</v>
      </c>
      <c r="H38" s="4">
        <f>Tabel1[[#This Row],[Stald_kode]]+Tabel1[[#This Row],[Dyr_Kode]]</f>
        <v>313507</v>
      </c>
      <c r="I38" s="12">
        <v>0</v>
      </c>
      <c r="J38" s="4" t="s">
        <v>126</v>
      </c>
      <c r="K38" s="4"/>
      <c r="L38" s="14">
        <f>9.92/100</f>
        <v>9.9199999999999997E-2</v>
      </c>
      <c r="M38" s="14">
        <v>0.12</v>
      </c>
      <c r="N38" s="14">
        <f>Tabel1[[#This Row],[Antal dyr i Kommunen 2018]]*Tabel1[[#This Row],[Gødning (g) pr. dyr (ton)]]</f>
        <v>0</v>
      </c>
      <c r="O38" s="15"/>
      <c r="P38" s="14"/>
      <c r="Q38" s="7">
        <v>0</v>
      </c>
      <c r="R38" s="7">
        <v>0</v>
      </c>
      <c r="S38" s="13">
        <f t="shared" si="5"/>
        <v>9.523200000000001</v>
      </c>
      <c r="T38" s="9">
        <f>(L38*1000)/365*M38*0.8*Q38</f>
        <v>0</v>
      </c>
      <c r="U38" s="7">
        <v>1.5</v>
      </c>
      <c r="V38" s="7">
        <v>0.39</v>
      </c>
      <c r="W38" s="9">
        <f t="shared" si="8"/>
        <v>3.7326182400000005E-2</v>
      </c>
      <c r="X38" s="79">
        <f t="shared" si="9"/>
        <v>0</v>
      </c>
      <c r="Z38" s="8"/>
    </row>
    <row r="39" spans="1:26" hidden="1" x14ac:dyDescent="0.25">
      <c r="A39" s="24" t="s">
        <v>43</v>
      </c>
      <c r="B39" s="86">
        <v>3106</v>
      </c>
      <c r="C39" s="4" t="s">
        <v>216</v>
      </c>
      <c r="D39" s="4" t="s">
        <v>149</v>
      </c>
      <c r="E39" s="4" t="s">
        <v>218</v>
      </c>
      <c r="F39" s="4" t="s">
        <v>155</v>
      </c>
      <c r="G39" s="4">
        <v>310601</v>
      </c>
      <c r="H39" s="4">
        <f>Tabel1[[#This Row],[Stald_kode]]+Tabel1[[#This Row],[Dyr_Kode]]</f>
        <v>313707</v>
      </c>
      <c r="I39" s="12">
        <v>0</v>
      </c>
      <c r="J39" s="4" t="s">
        <v>124</v>
      </c>
      <c r="K39" s="4" t="s">
        <v>29</v>
      </c>
      <c r="L39" s="14">
        <f>2.11/100</f>
        <v>2.1099999999999997E-2</v>
      </c>
      <c r="M39" s="14">
        <v>0.4</v>
      </c>
      <c r="N39" s="14">
        <f>Tabel1[[#This Row],[Antal dyr i Kommunen 2018]]*Tabel1[[#This Row],[Gødning (g) pr. dyr (ton)]]</f>
        <v>0</v>
      </c>
      <c r="O39" s="14">
        <f>0.26/100</f>
        <v>2.5999999999999999E-3</v>
      </c>
      <c r="P39" s="14">
        <v>0.63</v>
      </c>
      <c r="Q39" s="14">
        <v>0</v>
      </c>
      <c r="R39" s="14">
        <v>0</v>
      </c>
      <c r="S39" s="13">
        <f t="shared" si="5"/>
        <v>8.3892629000000003</v>
      </c>
      <c r="T39" s="9">
        <f>(L39*1000)/365*M39*0.8*Q39</f>
        <v>0</v>
      </c>
      <c r="U39" s="7">
        <v>1.5</v>
      </c>
      <c r="V39" s="7">
        <v>0.39</v>
      </c>
      <c r="W39" s="9">
        <f t="shared" si="8"/>
        <v>3.288171593655001E-2</v>
      </c>
      <c r="X39" s="69">
        <f>W39*I39</f>
        <v>0</v>
      </c>
      <c r="Z39" s="8"/>
    </row>
    <row r="40" spans="1:26" hidden="1" x14ac:dyDescent="0.25">
      <c r="A40" s="25" t="s">
        <v>43</v>
      </c>
      <c r="B40" s="78">
        <v>3101</v>
      </c>
      <c r="C40" s="4" t="s">
        <v>146</v>
      </c>
      <c r="D40" s="4" t="s">
        <v>149</v>
      </c>
      <c r="E40" s="4" t="s">
        <v>104</v>
      </c>
      <c r="F40" s="4" t="s">
        <v>103</v>
      </c>
      <c r="G40" s="4">
        <v>310103</v>
      </c>
      <c r="H40" s="4">
        <f>Tabel1[[#This Row],[Stald_kode]]+Tabel1[[#This Row],[Dyr_Kode]]</f>
        <v>313204</v>
      </c>
      <c r="I40" s="12">
        <v>0</v>
      </c>
      <c r="J40" s="4" t="s">
        <v>124</v>
      </c>
      <c r="K40" s="4"/>
      <c r="L40" s="14">
        <f>1.51/100</f>
        <v>1.5100000000000001E-2</v>
      </c>
      <c r="M40" s="14">
        <v>0.4</v>
      </c>
      <c r="N40" s="14">
        <f>Tabel1[[#This Row],[Antal dyr i Kommunen 2018]]*Tabel1[[#This Row],[Gødning (g) pr. dyr (ton)]]</f>
        <v>0</v>
      </c>
      <c r="O40" s="15"/>
      <c r="P40" s="14"/>
      <c r="Q40" s="14">
        <v>181</v>
      </c>
      <c r="R40" s="14">
        <v>181</v>
      </c>
      <c r="S40" s="13">
        <f t="shared" si="5"/>
        <v>2.4358575342465758</v>
      </c>
      <c r="T40" s="9">
        <f>(L40*1000)/365*M40*0.8*Q40</f>
        <v>2.3961424657534249</v>
      </c>
      <c r="U40" s="7">
        <v>1</v>
      </c>
      <c r="V40" s="7">
        <v>0.39</v>
      </c>
      <c r="W40" s="9">
        <f t="shared" si="8"/>
        <v>1.2626016000000004E-2</v>
      </c>
      <c r="X40" s="79">
        <f>(W40*I40)/1000</f>
        <v>0</v>
      </c>
      <c r="Z40" s="8"/>
    </row>
    <row r="41" spans="1:26" hidden="1" x14ac:dyDescent="0.25">
      <c r="A41" s="26" t="s">
        <v>43</v>
      </c>
      <c r="B41" s="80"/>
      <c r="C41" s="4" t="s">
        <v>146</v>
      </c>
      <c r="D41" s="4" t="s">
        <v>149</v>
      </c>
      <c r="E41" s="4" t="s">
        <v>104</v>
      </c>
      <c r="F41" s="4" t="s">
        <v>103</v>
      </c>
      <c r="G41" s="4"/>
      <c r="H41" s="4">
        <f>Tabel1[[#This Row],[Stald_kode]]+Tabel1[[#This Row],[Dyr_Kode]]</f>
        <v>0</v>
      </c>
      <c r="I41" s="12"/>
      <c r="J41" s="4"/>
      <c r="K41" s="4" t="s">
        <v>29</v>
      </c>
      <c r="L41" s="15"/>
      <c r="M41" s="15"/>
      <c r="N41" s="14">
        <f>Tabel1[[#This Row],[Antal dyr i Kommunen 2018]]*Tabel1[[#This Row],[Gødning (g) pr. dyr (ton)]]</f>
        <v>0</v>
      </c>
      <c r="O41" s="13">
        <f>0.3/100</f>
        <v>3.0000000000000001E-3</v>
      </c>
      <c r="P41" s="13">
        <v>0.63300000000000001</v>
      </c>
      <c r="Q41" s="14">
        <v>181</v>
      </c>
      <c r="R41" s="14">
        <v>181</v>
      </c>
      <c r="S41" s="13">
        <f t="shared" si="5"/>
        <v>0.95687332273972603</v>
      </c>
      <c r="T41" s="9">
        <f>(O41*1000)/365*P41*0.8*Q41</f>
        <v>0.75335671232876711</v>
      </c>
      <c r="U41" s="7">
        <v>1</v>
      </c>
      <c r="V41" s="7">
        <v>0.39</v>
      </c>
      <c r="W41" s="9">
        <f t="shared" si="8"/>
        <v>4.4688310816339734E-3</v>
      </c>
      <c r="X41" s="79">
        <f>(Tabel1[[#This Row],[CH4 pr. dyr (Kg)]]*I40)/1000</f>
        <v>0</v>
      </c>
      <c r="Z41" s="8"/>
    </row>
    <row r="42" spans="1:26" hidden="1" x14ac:dyDescent="0.25">
      <c r="A42" s="25" t="s">
        <v>43</v>
      </c>
      <c r="B42" s="78">
        <v>3101</v>
      </c>
      <c r="C42" s="4" t="s">
        <v>146</v>
      </c>
      <c r="D42" s="4" t="s">
        <v>149</v>
      </c>
      <c r="E42" s="4" t="s">
        <v>105</v>
      </c>
      <c r="F42" s="4" t="s">
        <v>103</v>
      </c>
      <c r="G42" s="4">
        <v>310101</v>
      </c>
      <c r="H42" s="4">
        <f>Tabel1[[#This Row],[Stald_kode]]+Tabel1[[#This Row],[Dyr_Kode]]</f>
        <v>313202</v>
      </c>
      <c r="I42" s="12">
        <v>0</v>
      </c>
      <c r="J42" s="4" t="s">
        <v>124</v>
      </c>
      <c r="K42" s="4"/>
      <c r="L42" s="14">
        <f>1.27/100</f>
        <v>1.2699999999999999E-2</v>
      </c>
      <c r="M42" s="14">
        <v>0.4</v>
      </c>
      <c r="N42" s="14">
        <f>Tabel1[[#This Row],[Antal dyr i Kommunen 2018]]*Tabel1[[#This Row],[Gødning (g) pr. dyr (ton)]]</f>
        <v>0</v>
      </c>
      <c r="O42" s="15"/>
      <c r="P42" s="14"/>
      <c r="Q42" s="87">
        <v>0</v>
      </c>
      <c r="R42" s="87">
        <v>0</v>
      </c>
      <c r="S42" s="13">
        <f t="shared" si="5"/>
        <v>4.0640000000000001</v>
      </c>
      <c r="T42" s="9">
        <f>(L42*1000)/365*M42*0.8*Q42</f>
        <v>0</v>
      </c>
      <c r="U42" s="7">
        <v>1</v>
      </c>
      <c r="V42" s="7">
        <v>0.39</v>
      </c>
      <c r="W42" s="9">
        <f t="shared" si="8"/>
        <v>1.0619232000000003E-2</v>
      </c>
      <c r="X42" s="79">
        <f>(W42*I42)/1000</f>
        <v>0</v>
      </c>
      <c r="Z42" s="8"/>
    </row>
    <row r="43" spans="1:26" hidden="1" x14ac:dyDescent="0.25">
      <c r="A43" s="26" t="s">
        <v>43</v>
      </c>
      <c r="B43" s="80"/>
      <c r="C43" s="4" t="s">
        <v>146</v>
      </c>
      <c r="D43" s="4" t="s">
        <v>149</v>
      </c>
      <c r="E43" s="4" t="s">
        <v>105</v>
      </c>
      <c r="F43" s="4" t="s">
        <v>103</v>
      </c>
      <c r="G43" s="4"/>
      <c r="H43" s="4">
        <f>Tabel1[[#This Row],[Stald_kode]]+Tabel1[[#This Row],[Dyr_Kode]]</f>
        <v>0</v>
      </c>
      <c r="I43" s="12"/>
      <c r="J43" s="4"/>
      <c r="K43" s="4" t="s">
        <v>29</v>
      </c>
      <c r="L43" s="15"/>
      <c r="M43" s="15"/>
      <c r="N43" s="14">
        <f>Tabel1[[#This Row],[Antal dyr i Kommunen 2018]]*Tabel1[[#This Row],[Gødning (g) pr. dyr (ton)]]</f>
        <v>0</v>
      </c>
      <c r="O43" s="13">
        <f>0.38/100</f>
        <v>3.8E-3</v>
      </c>
      <c r="P43" s="13">
        <v>0.63300000000000001</v>
      </c>
      <c r="Q43" s="87">
        <v>0</v>
      </c>
      <c r="R43" s="87">
        <v>0</v>
      </c>
      <c r="S43" s="13">
        <f t="shared" si="5"/>
        <v>2.4043175699999999</v>
      </c>
      <c r="T43" s="9">
        <f>(O43*1000)/365*P43*0.8*Q43</f>
        <v>0</v>
      </c>
      <c r="U43" s="7">
        <v>1</v>
      </c>
      <c r="V43" s="7">
        <v>0.39</v>
      </c>
      <c r="W43" s="9">
        <f t="shared" si="8"/>
        <v>6.2824818104100007E-3</v>
      </c>
      <c r="X43" s="79">
        <f>(Tabel1[[#This Row],[CH4 pr. dyr (Kg)]]*I42)/1000</f>
        <v>0</v>
      </c>
      <c r="Z43" s="8"/>
    </row>
    <row r="44" spans="1:26" hidden="1" x14ac:dyDescent="0.25">
      <c r="A44" s="25" t="s">
        <v>43</v>
      </c>
      <c r="B44" s="78">
        <v>3101</v>
      </c>
      <c r="C44" s="4" t="s">
        <v>146</v>
      </c>
      <c r="D44" s="4" t="s">
        <v>149</v>
      </c>
      <c r="E44" s="4" t="s">
        <v>110</v>
      </c>
      <c r="F44" s="4" t="s">
        <v>103</v>
      </c>
      <c r="G44" s="4">
        <v>310102</v>
      </c>
      <c r="H44" s="4">
        <f>Tabel1[[#This Row],[Stald_kode]]+Tabel1[[#This Row],[Dyr_Kode]]</f>
        <v>313203</v>
      </c>
      <c r="I44" s="12">
        <v>0</v>
      </c>
      <c r="J44" s="15"/>
      <c r="K44" s="4" t="s">
        <v>29</v>
      </c>
      <c r="L44" s="14"/>
      <c r="M44" s="14"/>
      <c r="N44" s="14">
        <f>Tabel1[[#This Row],[Antal dyr i Kommunen 2018]]*Tabel1[[#This Row],[Gødning (g) pr. dyr (ton)]]</f>
        <v>0</v>
      </c>
      <c r="O44" s="14">
        <f>1.1/100</f>
        <v>1.1000000000000001E-2</v>
      </c>
      <c r="P44" s="14">
        <v>0.63300000000000001</v>
      </c>
      <c r="Q44" s="87">
        <v>0</v>
      </c>
      <c r="R44" s="87">
        <v>0</v>
      </c>
      <c r="S44" s="13">
        <f t="shared" si="5"/>
        <v>6.9598666500000022</v>
      </c>
      <c r="T44" s="9">
        <f>(O44*1000)/365*P44*0.8*Q44</f>
        <v>0</v>
      </c>
      <c r="U44" s="7">
        <v>1</v>
      </c>
      <c r="V44" s="7">
        <v>0.39</v>
      </c>
      <c r="W44" s="9">
        <f t="shared" si="8"/>
        <v>1.8186131556450009E-2</v>
      </c>
      <c r="X44" s="79">
        <f t="shared" ref="X44:X49" si="10">(W44*I44)/1000</f>
        <v>0</v>
      </c>
      <c r="Z44" s="8"/>
    </row>
    <row r="45" spans="1:26" hidden="1" x14ac:dyDescent="0.25">
      <c r="A45" s="25" t="s">
        <v>43</v>
      </c>
      <c r="B45" s="78">
        <v>3111</v>
      </c>
      <c r="C45" s="4" t="s">
        <v>147</v>
      </c>
      <c r="D45" s="4" t="s">
        <v>149</v>
      </c>
      <c r="E45" s="4" t="s">
        <v>108</v>
      </c>
      <c r="F45" s="4" t="s">
        <v>155</v>
      </c>
      <c r="G45" s="4">
        <v>311105</v>
      </c>
      <c r="H45" s="4">
        <f>Tabel1[[#This Row],[Stald_kode]]+Tabel1[[#This Row],[Dyr_Kode]]</f>
        <v>314216</v>
      </c>
      <c r="I45" s="12">
        <v>0</v>
      </c>
      <c r="J45" s="4" t="s">
        <v>124</v>
      </c>
      <c r="K45" s="4"/>
      <c r="L45" s="14">
        <f>0.23/100</f>
        <v>2.3E-3</v>
      </c>
      <c r="M45" s="14">
        <v>0.4</v>
      </c>
      <c r="N45" s="14">
        <f>Tabel1[[#This Row],[Antal dyr i Kommunen 2018]]*Tabel1[[#This Row],[Gødning (g) pr. dyr (ton)]]</f>
        <v>0</v>
      </c>
      <c r="O45" s="15"/>
      <c r="P45" s="14"/>
      <c r="Q45" s="87">
        <v>0</v>
      </c>
      <c r="R45" s="87">
        <v>0</v>
      </c>
      <c r="S45" s="13">
        <f t="shared" si="5"/>
        <v>0.7360000000000001</v>
      </c>
      <c r="T45" s="9">
        <f>(L45*1000)/365*M45*0.8*Q45</f>
        <v>0</v>
      </c>
      <c r="U45" s="7">
        <v>1.5</v>
      </c>
      <c r="V45" s="7">
        <v>0.39</v>
      </c>
      <c r="W45" s="9">
        <f t="shared" si="8"/>
        <v>2.8847520000000004E-3</v>
      </c>
      <c r="X45" s="79">
        <f t="shared" si="10"/>
        <v>0</v>
      </c>
      <c r="Z45" s="8"/>
    </row>
    <row r="46" spans="1:26" hidden="1" x14ac:dyDescent="0.25">
      <c r="A46" s="25" t="s">
        <v>43</v>
      </c>
      <c r="B46" s="78">
        <v>3111</v>
      </c>
      <c r="C46" s="4" t="s">
        <v>145</v>
      </c>
      <c r="D46" s="4" t="s">
        <v>149</v>
      </c>
      <c r="E46" s="4" t="s">
        <v>98</v>
      </c>
      <c r="F46" s="4" t="s">
        <v>155</v>
      </c>
      <c r="G46" s="4">
        <v>311106</v>
      </c>
      <c r="H46" s="4">
        <f>Tabel1[[#This Row],[Stald_kode]]+Tabel1[[#This Row],[Dyr_Kode]]</f>
        <v>314217</v>
      </c>
      <c r="I46" s="12">
        <v>0</v>
      </c>
      <c r="J46" s="15"/>
      <c r="K46" s="4" t="s">
        <v>29</v>
      </c>
      <c r="L46" s="14"/>
      <c r="M46" s="14"/>
      <c r="N46" s="14">
        <f>Tabel1[[#This Row],[Antal dyr i Kommunen 2018]]*Tabel1[[#This Row],[Gødning (g) pr. dyr (ton)]]</f>
        <v>0</v>
      </c>
      <c r="O46" s="14">
        <f>0.14/100</f>
        <v>1.4000000000000002E-3</v>
      </c>
      <c r="P46" s="14">
        <v>0.48</v>
      </c>
      <c r="Q46" s="87">
        <v>0</v>
      </c>
      <c r="R46" s="87">
        <v>0</v>
      </c>
      <c r="S46" s="13">
        <f t="shared" si="5"/>
        <v>0.67169760000000012</v>
      </c>
      <c r="T46" s="9">
        <f>(O46*1000)/365*P46*0.8*Q46</f>
        <v>0</v>
      </c>
      <c r="U46" s="7">
        <v>1.5</v>
      </c>
      <c r="V46" s="7">
        <v>0.39</v>
      </c>
      <c r="W46" s="9">
        <f t="shared" si="8"/>
        <v>2.6327187432000011E-3</v>
      </c>
      <c r="X46" s="79">
        <f t="shared" si="10"/>
        <v>0</v>
      </c>
      <c r="Z46" s="8"/>
    </row>
    <row r="47" spans="1:26" hidden="1" x14ac:dyDescent="0.25">
      <c r="A47" s="25" t="s">
        <v>43</v>
      </c>
      <c r="B47" s="78">
        <v>3105</v>
      </c>
      <c r="C47" s="4" t="s">
        <v>138</v>
      </c>
      <c r="D47" s="4" t="s">
        <v>149</v>
      </c>
      <c r="E47" s="4" t="s">
        <v>93</v>
      </c>
      <c r="F47" s="4" t="s">
        <v>155</v>
      </c>
      <c r="G47" s="4">
        <v>310501</v>
      </c>
      <c r="H47" s="4">
        <f>Tabel1[[#This Row],[Stald_kode]]+Tabel1[[#This Row],[Dyr_Kode]]</f>
        <v>313606</v>
      </c>
      <c r="I47" s="12">
        <v>0</v>
      </c>
      <c r="J47" s="15"/>
      <c r="K47" s="4" t="s">
        <v>29</v>
      </c>
      <c r="L47" s="14"/>
      <c r="M47" s="14"/>
      <c r="N47" s="14">
        <f>Tabel1[[#This Row],[Antal dyr i Kommunen 2018]]*Tabel1[[#This Row],[Gødning (g) pr. dyr (ton)]]</f>
        <v>0</v>
      </c>
      <c r="O47" s="14">
        <f>1.63/100</f>
        <v>1.6299999999999999E-2</v>
      </c>
      <c r="P47" s="14">
        <v>0.63300000000000001</v>
      </c>
      <c r="Q47" s="87">
        <v>0</v>
      </c>
      <c r="R47" s="87">
        <v>0</v>
      </c>
      <c r="S47" s="13">
        <f t="shared" si="5"/>
        <v>10.313256944999999</v>
      </c>
      <c r="T47" s="9">
        <f>(O47*1000)/365*P47*0.8*Q47</f>
        <v>0</v>
      </c>
      <c r="U47" s="7">
        <v>1.5</v>
      </c>
      <c r="V47" s="7">
        <v>0.39</v>
      </c>
      <c r="W47" s="9">
        <f t="shared" si="8"/>
        <v>4.0422810595927498E-2</v>
      </c>
      <c r="X47" s="79">
        <f t="shared" si="10"/>
        <v>0</v>
      </c>
      <c r="Z47" s="8"/>
    </row>
    <row r="48" spans="1:26" hidden="1" x14ac:dyDescent="0.25">
      <c r="A48" s="25" t="s">
        <v>43</v>
      </c>
      <c r="B48" s="78">
        <v>3112</v>
      </c>
      <c r="C48" s="4" t="s">
        <v>134</v>
      </c>
      <c r="D48" s="4" t="s">
        <v>149</v>
      </c>
      <c r="E48" s="4" t="s">
        <v>106</v>
      </c>
      <c r="F48" s="4" t="s">
        <v>155</v>
      </c>
      <c r="G48" s="4">
        <v>311201</v>
      </c>
      <c r="H48" s="4">
        <f>Tabel1[[#This Row],[Stald_kode]]+Tabel1[[#This Row],[Dyr_Kode]]</f>
        <v>314313</v>
      </c>
      <c r="I48" s="12">
        <v>0</v>
      </c>
      <c r="J48" s="15"/>
      <c r="K48" s="4" t="s">
        <v>29</v>
      </c>
      <c r="L48" s="14"/>
      <c r="M48" s="14"/>
      <c r="N48" s="14">
        <f>Tabel1[[#This Row],[Antal dyr i Kommunen 2018]]*Tabel1[[#This Row],[Gødning (g) pr. dyr (ton)]]</f>
        <v>0</v>
      </c>
      <c r="O48" s="14">
        <f>0.15/100</f>
        <v>1.5E-3</v>
      </c>
      <c r="P48" s="14">
        <v>0.48</v>
      </c>
      <c r="Q48" s="87">
        <v>0</v>
      </c>
      <c r="R48" s="87">
        <v>0</v>
      </c>
      <c r="S48" s="13">
        <f t="shared" si="5"/>
        <v>0.71967599999999998</v>
      </c>
      <c r="T48" s="9">
        <f>(O48*1000)/365*P48*0.8*Q48</f>
        <v>0</v>
      </c>
      <c r="U48" s="7">
        <v>1.5</v>
      </c>
      <c r="V48" s="7">
        <v>0.39</v>
      </c>
      <c r="W48" s="9">
        <f t="shared" si="8"/>
        <v>2.8207700820000008E-3</v>
      </c>
      <c r="X48" s="79">
        <f t="shared" si="10"/>
        <v>0</v>
      </c>
      <c r="Z48" s="8"/>
    </row>
    <row r="49" spans="1:26" hidden="1" x14ac:dyDescent="0.25">
      <c r="A49" s="25" t="s">
        <v>43</v>
      </c>
      <c r="B49" s="78">
        <v>3103</v>
      </c>
      <c r="C49" s="4" t="s">
        <v>142</v>
      </c>
      <c r="D49" s="4" t="s">
        <v>149</v>
      </c>
      <c r="E49" s="4" t="s">
        <v>91</v>
      </c>
      <c r="F49" s="4" t="s">
        <v>155</v>
      </c>
      <c r="G49" s="4">
        <v>310302</v>
      </c>
      <c r="H49" s="4">
        <f>Tabel1[[#This Row],[Stald_kode]]+Tabel1[[#This Row],[Dyr_Kode]]</f>
        <v>313405</v>
      </c>
      <c r="I49" s="12">
        <v>0</v>
      </c>
      <c r="J49" s="4" t="s">
        <v>124</v>
      </c>
      <c r="K49" s="4"/>
      <c r="L49" s="14">
        <f>2.23/100</f>
        <v>2.23E-2</v>
      </c>
      <c r="M49" s="14">
        <v>0.4</v>
      </c>
      <c r="N49" s="14">
        <f>Tabel1[[#This Row],[Antal dyr i Kommunen 2018]]*Tabel1[[#This Row],[Gødning (g) pr. dyr (ton)]]</f>
        <v>0</v>
      </c>
      <c r="O49" s="15"/>
      <c r="P49" s="14"/>
      <c r="Q49" s="7">
        <v>0</v>
      </c>
      <c r="R49" s="87">
        <v>0</v>
      </c>
      <c r="S49" s="13">
        <f t="shared" si="5"/>
        <v>7.1360000000000001</v>
      </c>
      <c r="T49" s="9">
        <f>(L49*1000)/365*M49*0.8*Q49</f>
        <v>0</v>
      </c>
      <c r="U49" s="7">
        <v>1.5</v>
      </c>
      <c r="V49" s="7">
        <v>0.39</v>
      </c>
      <c r="W49" s="9">
        <f t="shared" si="8"/>
        <v>2.7969552000000005E-2</v>
      </c>
      <c r="X49" s="79">
        <f t="shared" si="10"/>
        <v>0</v>
      </c>
      <c r="Z49" s="8"/>
    </row>
    <row r="50" spans="1:26" hidden="1" x14ac:dyDescent="0.25">
      <c r="A50" s="26" t="s">
        <v>43</v>
      </c>
      <c r="B50" s="80"/>
      <c r="C50" s="4" t="s">
        <v>142</v>
      </c>
      <c r="D50" s="4" t="s">
        <v>149</v>
      </c>
      <c r="E50" s="4" t="s">
        <v>91</v>
      </c>
      <c r="F50" s="4" t="s">
        <v>155</v>
      </c>
      <c r="G50" s="4"/>
      <c r="H50" s="4">
        <f>Tabel1[[#This Row],[Stald_kode]]+Tabel1[[#This Row],[Dyr_Kode]]</f>
        <v>0</v>
      </c>
      <c r="I50" s="12"/>
      <c r="J50" s="4"/>
      <c r="K50" s="4" t="s">
        <v>29</v>
      </c>
      <c r="L50" s="15"/>
      <c r="M50" s="15"/>
      <c r="N50" s="14">
        <f>Tabel1[[#This Row],[Antal dyr i Kommunen 2018]]*Tabel1[[#This Row],[Gødning (g) pr. dyr (ton)]]</f>
        <v>0</v>
      </c>
      <c r="O50" s="13">
        <f>0.31/100</f>
        <v>3.0999999999999999E-3</v>
      </c>
      <c r="P50" s="13">
        <v>0.63300000000000001</v>
      </c>
      <c r="Q50" s="7">
        <v>0</v>
      </c>
      <c r="R50" s="87">
        <v>0</v>
      </c>
      <c r="S50" s="13">
        <f t="shared" si="5"/>
        <v>1.9614169650000002</v>
      </c>
      <c r="T50" s="9">
        <f>(O50*1000)/365*P50*0.8*Q50</f>
        <v>0</v>
      </c>
      <c r="U50" s="7">
        <v>1</v>
      </c>
      <c r="V50" s="7">
        <v>0.39</v>
      </c>
      <c r="W50" s="9">
        <f t="shared" si="8"/>
        <v>5.1251825295450014E-3</v>
      </c>
      <c r="X50" s="79">
        <f>(Tabel1[[#This Row],[CH4 pr. dyr (Kg)]]*I49)/1000</f>
        <v>0</v>
      </c>
      <c r="Z50" s="8"/>
    </row>
    <row r="51" spans="1:26" hidden="1" x14ac:dyDescent="0.25">
      <c r="A51" s="27" t="s">
        <v>43</v>
      </c>
      <c r="B51" s="81">
        <v>3103</v>
      </c>
      <c r="C51" s="15" t="s">
        <v>142</v>
      </c>
      <c r="D51" s="4" t="s">
        <v>149</v>
      </c>
      <c r="E51" s="15" t="s">
        <v>99</v>
      </c>
      <c r="F51" s="15" t="s">
        <v>155</v>
      </c>
      <c r="G51" s="15">
        <v>310301</v>
      </c>
      <c r="H51" s="15">
        <f>Tabel1[[#This Row],[Stald_kode]]+Tabel1[[#This Row],[Dyr_Kode]]</f>
        <v>313404</v>
      </c>
      <c r="I51" s="12">
        <v>0</v>
      </c>
      <c r="J51" s="15" t="s">
        <v>124</v>
      </c>
      <c r="K51" s="15" t="s">
        <v>29</v>
      </c>
      <c r="L51" s="15">
        <f>1.36/100</f>
        <v>1.3600000000000001E-2</v>
      </c>
      <c r="M51" s="15">
        <v>8.900000000000001E-2</v>
      </c>
      <c r="N51" s="14">
        <f>Tabel1[[#This Row],[Antal dyr i Kommunen 2018]]*Tabel1[[#This Row],[Gødning (g) pr. dyr (ton)]]</f>
        <v>0</v>
      </c>
      <c r="O51" s="15"/>
      <c r="P51" s="14"/>
      <c r="Q51" s="7">
        <v>0</v>
      </c>
      <c r="R51" s="87">
        <v>0</v>
      </c>
      <c r="S51" s="13">
        <f t="shared" si="5"/>
        <v>0.96832000000000029</v>
      </c>
      <c r="T51" s="9">
        <f>(L51*1000)/365*M51*0.8*Q51</f>
        <v>0</v>
      </c>
      <c r="U51" s="7">
        <v>1.5</v>
      </c>
      <c r="V51" s="7">
        <v>0.39</v>
      </c>
      <c r="W51" s="9">
        <f t="shared" si="8"/>
        <v>3.7953302400000016E-3</v>
      </c>
      <c r="X51" s="79">
        <f>(W51*I51)/1000</f>
        <v>0</v>
      </c>
      <c r="Z51" s="8"/>
    </row>
    <row r="52" spans="1:26" hidden="1" x14ac:dyDescent="0.25">
      <c r="A52" s="24" t="s">
        <v>43</v>
      </c>
      <c r="B52" s="86">
        <v>3107</v>
      </c>
      <c r="C52" s="4" t="s">
        <v>217</v>
      </c>
      <c r="D52" s="4" t="s">
        <v>149</v>
      </c>
      <c r="E52" s="4" t="s">
        <v>219</v>
      </c>
      <c r="F52" s="4" t="s">
        <v>155</v>
      </c>
      <c r="G52" s="4">
        <v>310701</v>
      </c>
      <c r="H52" s="4">
        <f>Tabel1[[#This Row],[Stald_kode]]+Tabel1[[#This Row],[Dyr_Kode]]</f>
        <v>313808</v>
      </c>
      <c r="I52" s="12">
        <v>0</v>
      </c>
      <c r="J52" s="4"/>
      <c r="K52" s="4" t="s">
        <v>29</v>
      </c>
      <c r="L52" s="14">
        <f>1.51/100</f>
        <v>1.5100000000000001E-2</v>
      </c>
      <c r="M52" s="14">
        <v>0.4</v>
      </c>
      <c r="N52" s="14">
        <f>Tabel1[[#This Row],[Antal dyr i Kommunen 2018]]*Tabel1[[#This Row],[Gødning (g) pr. dyr (ton)]]</f>
        <v>0</v>
      </c>
      <c r="O52" s="14">
        <f>0.3/100</f>
        <v>3.0000000000000001E-3</v>
      </c>
      <c r="P52" s="14">
        <v>0.63</v>
      </c>
      <c r="Q52" s="14">
        <v>0</v>
      </c>
      <c r="R52" s="14">
        <v>0</v>
      </c>
      <c r="S52" s="13">
        <f t="shared" si="5"/>
        <v>6.721149500000001</v>
      </c>
      <c r="T52" s="9">
        <f>(L52*1000)/365*M52*0.8*Q52</f>
        <v>0</v>
      </c>
      <c r="U52" s="7">
        <v>1.5</v>
      </c>
      <c r="V52" s="7">
        <v>0.39</v>
      </c>
      <c r="W52" s="9">
        <f t="shared" si="8"/>
        <v>2.6343545465250005E-2</v>
      </c>
      <c r="X52" s="69">
        <f>W52*I52</f>
        <v>0</v>
      </c>
      <c r="Z52" s="8"/>
    </row>
    <row r="53" spans="1:26" hidden="1" x14ac:dyDescent="0.25">
      <c r="A53" s="25" t="s">
        <v>43</v>
      </c>
      <c r="B53" s="78">
        <v>3102</v>
      </c>
      <c r="C53" s="4" t="s">
        <v>143</v>
      </c>
      <c r="D53" s="4" t="s">
        <v>149</v>
      </c>
      <c r="E53" s="4" t="s">
        <v>92</v>
      </c>
      <c r="F53" s="4" t="s">
        <v>155</v>
      </c>
      <c r="G53" s="4">
        <v>310201</v>
      </c>
      <c r="H53" s="4">
        <f>Tabel1[[#This Row],[Stald_kode]]+Tabel1[[#This Row],[Dyr_Kode]]</f>
        <v>313303</v>
      </c>
      <c r="I53" s="12">
        <v>0</v>
      </c>
      <c r="J53" s="4" t="s">
        <v>124</v>
      </c>
      <c r="K53" s="4"/>
      <c r="L53" s="14">
        <f>1.51/100</f>
        <v>1.5100000000000001E-2</v>
      </c>
      <c r="M53" s="14">
        <v>0.4</v>
      </c>
      <c r="N53" s="14">
        <f>Tabel1[[#This Row],[Antal dyr i Kommunen 2018]]*Tabel1[[#This Row],[Gødning (g) pr. dyr (ton)]]</f>
        <v>0</v>
      </c>
      <c r="O53" s="15"/>
      <c r="P53" s="14"/>
      <c r="Q53" s="7">
        <v>0</v>
      </c>
      <c r="R53" s="87">
        <v>0</v>
      </c>
      <c r="S53" s="13">
        <f t="shared" si="5"/>
        <v>4.8320000000000007</v>
      </c>
      <c r="T53" s="9">
        <f>(L53*1000)/365*M53*0.8*Q53</f>
        <v>0</v>
      </c>
      <c r="U53" s="7">
        <v>1.5</v>
      </c>
      <c r="V53" s="7">
        <v>0.39</v>
      </c>
      <c r="W53" s="9">
        <f t="shared" si="8"/>
        <v>1.8939024000000006E-2</v>
      </c>
      <c r="X53" s="79">
        <f>(W53*I53)/1000</f>
        <v>0</v>
      </c>
      <c r="Z53" s="8"/>
    </row>
    <row r="54" spans="1:26" hidden="1" x14ac:dyDescent="0.25">
      <c r="A54" s="26" t="s">
        <v>43</v>
      </c>
      <c r="B54" s="80"/>
      <c r="C54" s="4" t="s">
        <v>143</v>
      </c>
      <c r="D54" s="4" t="s">
        <v>149</v>
      </c>
      <c r="E54" s="4" t="s">
        <v>92</v>
      </c>
      <c r="F54" s="4" t="s">
        <v>155</v>
      </c>
      <c r="G54" s="4"/>
      <c r="H54" s="4">
        <f>Tabel1[[#This Row],[Stald_kode]]+Tabel1[[#This Row],[Dyr_Kode]]</f>
        <v>0</v>
      </c>
      <c r="I54" s="12"/>
      <c r="J54" s="4"/>
      <c r="K54" s="4" t="s">
        <v>29</v>
      </c>
      <c r="L54" s="15"/>
      <c r="M54" s="15"/>
      <c r="N54" s="14">
        <f>Tabel1[[#This Row],[Antal dyr i Kommunen 2018]]*Tabel1[[#This Row],[Gødning (g) pr. dyr (ton)]]</f>
        <v>0</v>
      </c>
      <c r="O54" s="13">
        <f>0.3/100</f>
        <v>3.0000000000000001E-3</v>
      </c>
      <c r="P54" s="13">
        <v>0.63300000000000001</v>
      </c>
      <c r="Q54" s="87">
        <v>0</v>
      </c>
      <c r="R54" s="87">
        <v>0</v>
      </c>
      <c r="S54" s="13">
        <f t="shared" si="5"/>
        <v>1.8981454499999999</v>
      </c>
      <c r="T54" s="9">
        <f>(O54*1000)/365*P54*0.8*Q54</f>
        <v>0</v>
      </c>
      <c r="U54" s="7">
        <v>1.5</v>
      </c>
      <c r="V54" s="7">
        <v>0.39</v>
      </c>
      <c r="W54" s="9">
        <f t="shared" si="8"/>
        <v>7.4397810912750009E-3</v>
      </c>
      <c r="X54" s="79">
        <f>(Tabel1[[#This Row],[CH4 pr. dyr (Kg)]]*I53)/1000</f>
        <v>0</v>
      </c>
      <c r="Z54" s="8"/>
    </row>
    <row r="55" spans="1:26" hidden="1" x14ac:dyDescent="0.25">
      <c r="A55" s="25" t="s">
        <v>43</v>
      </c>
      <c r="B55" s="78">
        <v>3102</v>
      </c>
      <c r="C55" s="4" t="s">
        <v>143</v>
      </c>
      <c r="D55" s="4" t="s">
        <v>149</v>
      </c>
      <c r="E55" s="4" t="s">
        <v>102</v>
      </c>
      <c r="F55" s="4" t="s">
        <v>155</v>
      </c>
      <c r="G55" s="4">
        <v>310202</v>
      </c>
      <c r="H55" s="4">
        <f>Tabel1[[#This Row],[Stald_kode]]+Tabel1[[#This Row],[Dyr_Kode]]</f>
        <v>313304</v>
      </c>
      <c r="I55" s="12">
        <v>0</v>
      </c>
      <c r="J55" s="4" t="s">
        <v>124</v>
      </c>
      <c r="K55" s="4"/>
      <c r="L55" s="14">
        <f>1.3/100</f>
        <v>1.3000000000000001E-2</v>
      </c>
      <c r="M55" s="14">
        <v>0.4</v>
      </c>
      <c r="N55" s="14">
        <f>Tabel1[[#This Row],[Antal dyr i Kommunen 2018]]*Tabel1[[#This Row],[Gødning (g) pr. dyr (ton)]]</f>
        <v>0</v>
      </c>
      <c r="O55" s="15"/>
      <c r="P55" s="14"/>
      <c r="Q55" s="87">
        <v>0</v>
      </c>
      <c r="R55" s="87">
        <v>0</v>
      </c>
      <c r="S55" s="13">
        <f t="shared" si="5"/>
        <v>4.160000000000001</v>
      </c>
      <c r="T55" s="9">
        <f>(L55*1000)/365*M55*0.8*Q55</f>
        <v>0</v>
      </c>
      <c r="U55" s="7">
        <v>1.5</v>
      </c>
      <c r="V55" s="7">
        <v>0.39</v>
      </c>
      <c r="W55" s="9">
        <f t="shared" si="8"/>
        <v>1.6305120000000006E-2</v>
      </c>
      <c r="X55" s="79">
        <f>(W55*I55)/1000</f>
        <v>0</v>
      </c>
      <c r="Z55" s="8"/>
    </row>
    <row r="56" spans="1:26" hidden="1" x14ac:dyDescent="0.25">
      <c r="A56" s="26" t="s">
        <v>43</v>
      </c>
      <c r="B56" s="80"/>
      <c r="C56" s="4" t="s">
        <v>143</v>
      </c>
      <c r="D56" s="4" t="s">
        <v>149</v>
      </c>
      <c r="E56" s="4" t="s">
        <v>102</v>
      </c>
      <c r="F56" s="4" t="s">
        <v>155</v>
      </c>
      <c r="G56" s="4"/>
      <c r="H56" s="4">
        <f>Tabel1[[#This Row],[Stald_kode]]+Tabel1[[#This Row],[Dyr_Kode]]</f>
        <v>0</v>
      </c>
      <c r="I56" s="12"/>
      <c r="J56" s="4"/>
      <c r="K56" s="4" t="s">
        <v>29</v>
      </c>
      <c r="L56" s="15"/>
      <c r="M56" s="15"/>
      <c r="N56" s="14">
        <f>Tabel1[[#This Row],[Antal dyr i Kommunen 2018]]*Tabel1[[#This Row],[Gødning (g) pr. dyr (ton)]]</f>
        <v>0</v>
      </c>
      <c r="O56" s="13">
        <f>0.42/100</f>
        <v>4.1999999999999997E-3</v>
      </c>
      <c r="P56" s="13">
        <v>0.63300000000000001</v>
      </c>
      <c r="Q56" s="87">
        <v>0</v>
      </c>
      <c r="R56" s="87">
        <v>0</v>
      </c>
      <c r="S56" s="13">
        <f t="shared" si="5"/>
        <v>2.6574036300000006</v>
      </c>
      <c r="T56" s="9">
        <f>(O56*1000)/365*P56*0.8*Q56</f>
        <v>0</v>
      </c>
      <c r="U56" s="7">
        <v>1.5</v>
      </c>
      <c r="V56" s="7">
        <v>0.39</v>
      </c>
      <c r="W56" s="9">
        <f t="shared" si="8"/>
        <v>1.0415693527785003E-2</v>
      </c>
      <c r="X56" s="79">
        <f>(Tabel1[[#This Row],[CH4 pr. dyr (Kg)]]*I55)/1000</f>
        <v>0</v>
      </c>
      <c r="Z56" s="8"/>
    </row>
    <row r="57" spans="1:26" hidden="1" x14ac:dyDescent="0.25">
      <c r="A57" s="24" t="s">
        <v>238</v>
      </c>
      <c r="B57" s="86">
        <v>3205</v>
      </c>
      <c r="C57" s="4" t="s">
        <v>223</v>
      </c>
      <c r="D57" s="4" t="s">
        <v>149</v>
      </c>
      <c r="E57" s="4" t="s">
        <v>224</v>
      </c>
      <c r="F57" s="4" t="s">
        <v>155</v>
      </c>
      <c r="G57" s="4">
        <v>320501</v>
      </c>
      <c r="H57" s="4">
        <f>Tabel1[[#This Row],[Stald_kode]]+Tabel1[[#This Row],[Dyr_Kode]]</f>
        <v>323706</v>
      </c>
      <c r="I57" s="12">
        <v>0</v>
      </c>
      <c r="J57" s="4"/>
      <c r="K57" s="4" t="s">
        <v>29</v>
      </c>
      <c r="L57" s="14"/>
      <c r="M57" s="14"/>
      <c r="N57" s="14">
        <f>Tabel1[[#This Row],[Antal dyr i Kommunen 2018]]*Tabel1[[#This Row],[Gødning (g) pr. dyr (ton)]]</f>
        <v>0</v>
      </c>
      <c r="O57" s="14">
        <f>1.17/1000</f>
        <v>1.17E-3</v>
      </c>
      <c r="P57" s="14">
        <v>0.48</v>
      </c>
      <c r="Q57" s="87">
        <v>0</v>
      </c>
      <c r="R57" s="87">
        <v>0</v>
      </c>
      <c r="S57" s="13">
        <f t="shared" si="5"/>
        <v>0.56134728</v>
      </c>
      <c r="T57" s="9">
        <f>(L57*1000)/365*M57*0.8*Q57</f>
        <v>0</v>
      </c>
      <c r="U57" s="7">
        <v>1.5</v>
      </c>
      <c r="V57" s="7">
        <v>0.36</v>
      </c>
      <c r="W57" s="9">
        <f t="shared" si="8"/>
        <v>2.0309544590399998E-3</v>
      </c>
      <c r="X57" s="69">
        <f>W57*I57</f>
        <v>0</v>
      </c>
      <c r="Z57" s="8"/>
    </row>
    <row r="58" spans="1:26" hidden="1" x14ac:dyDescent="0.25">
      <c r="A58" s="24" t="s">
        <v>238</v>
      </c>
      <c r="B58" s="86">
        <v>3201</v>
      </c>
      <c r="C58" s="4" t="s">
        <v>220</v>
      </c>
      <c r="D58" s="4" t="s">
        <v>149</v>
      </c>
      <c r="E58" s="4" t="s">
        <v>224</v>
      </c>
      <c r="F58" s="4" t="s">
        <v>155</v>
      </c>
      <c r="G58" s="4">
        <v>320101</v>
      </c>
      <c r="H58" s="4">
        <f>Tabel1[[#This Row],[Stald_kode]]+Tabel1[[#This Row],[Dyr_Kode]]</f>
        <v>323302</v>
      </c>
      <c r="I58" s="12">
        <v>0</v>
      </c>
      <c r="J58" s="4"/>
      <c r="K58" s="4" t="s">
        <v>29</v>
      </c>
      <c r="L58" s="14"/>
      <c r="M58" s="14"/>
      <c r="N58" s="14">
        <f>Tabel1[[#This Row],[Antal dyr i Kommunen 2018]]*Tabel1[[#This Row],[Gødning (g) pr. dyr (ton)]]</f>
        <v>0</v>
      </c>
      <c r="O58" s="14">
        <f>1.02/1000</f>
        <v>1.0200000000000001E-3</v>
      </c>
      <c r="P58" s="14">
        <v>0.48</v>
      </c>
      <c r="Q58" s="87">
        <v>0</v>
      </c>
      <c r="R58" s="87">
        <v>0</v>
      </c>
      <c r="S58" s="13">
        <f t="shared" si="5"/>
        <v>0.48937968000000004</v>
      </c>
      <c r="T58" s="9">
        <f>(L58*1000)/365*M58*0.8*Q58</f>
        <v>0</v>
      </c>
      <c r="U58" s="7">
        <v>1.5</v>
      </c>
      <c r="V58" s="7">
        <v>0.36</v>
      </c>
      <c r="W58" s="9">
        <f t="shared" si="8"/>
        <v>1.7705756822400003E-3</v>
      </c>
      <c r="X58" s="69">
        <f>W58*I58</f>
        <v>0</v>
      </c>
      <c r="Z58" s="8"/>
    </row>
    <row r="59" spans="1:26" hidden="1" x14ac:dyDescent="0.25">
      <c r="A59" s="24" t="s">
        <v>238</v>
      </c>
      <c r="B59" s="86">
        <v>3202</v>
      </c>
      <c r="C59" s="4" t="s">
        <v>221</v>
      </c>
      <c r="D59" s="4" t="s">
        <v>149</v>
      </c>
      <c r="E59" s="4" t="s">
        <v>224</v>
      </c>
      <c r="F59" s="4" t="s">
        <v>155</v>
      </c>
      <c r="G59" s="4">
        <v>320201</v>
      </c>
      <c r="H59" s="4">
        <f>Tabel1[[#This Row],[Stald_kode]]+Tabel1[[#This Row],[Dyr_Kode]]</f>
        <v>323403</v>
      </c>
      <c r="I59" s="12">
        <v>0</v>
      </c>
      <c r="J59" s="4"/>
      <c r="K59" s="4" t="s">
        <v>29</v>
      </c>
      <c r="L59" s="14"/>
      <c r="M59" s="14"/>
      <c r="N59" s="14">
        <f>Tabel1[[#This Row],[Antal dyr i Kommunen 2018]]*Tabel1[[#This Row],[Gødning (g) pr. dyr (ton)]]</f>
        <v>0</v>
      </c>
      <c r="O59" s="14">
        <f>1.17/1000</f>
        <v>1.17E-3</v>
      </c>
      <c r="P59" s="14">
        <v>0.48</v>
      </c>
      <c r="Q59" s="87">
        <v>0</v>
      </c>
      <c r="R59" s="87">
        <v>0</v>
      </c>
      <c r="S59" s="13">
        <f t="shared" si="5"/>
        <v>0.56134728</v>
      </c>
      <c r="T59" s="9">
        <f>(L59*1000)/365*M59*0.8*Q59</f>
        <v>0</v>
      </c>
      <c r="U59" s="7">
        <v>1.5</v>
      </c>
      <c r="V59" s="7">
        <v>0.36</v>
      </c>
      <c r="W59" s="9">
        <f t="shared" si="8"/>
        <v>2.0309544590399998E-3</v>
      </c>
      <c r="X59" s="69">
        <f>W59*I59</f>
        <v>0</v>
      </c>
      <c r="Z59" s="8"/>
    </row>
    <row r="60" spans="1:26" hidden="1" x14ac:dyDescent="0.25">
      <c r="A60" s="24" t="s">
        <v>238</v>
      </c>
      <c r="B60" s="86">
        <v>3204</v>
      </c>
      <c r="C60" s="4" t="s">
        <v>222</v>
      </c>
      <c r="D60" s="4" t="s">
        <v>149</v>
      </c>
      <c r="E60" s="4" t="s">
        <v>225</v>
      </c>
      <c r="F60" s="4" t="s">
        <v>155</v>
      </c>
      <c r="G60" s="4">
        <v>320401</v>
      </c>
      <c r="H60" s="4">
        <f>Tabel1[[#This Row],[Stald_kode]]+Tabel1[[#This Row],[Dyr_Kode]]</f>
        <v>323605</v>
      </c>
      <c r="I60" s="12">
        <v>0</v>
      </c>
      <c r="J60" s="4"/>
      <c r="K60" s="4" t="s">
        <v>29</v>
      </c>
      <c r="L60" s="14"/>
      <c r="M60" s="14"/>
      <c r="N60" s="14">
        <f>Tabel1[[#This Row],[Antal dyr i Kommunen 2018]]*Tabel1[[#This Row],[Gødning (g) pr. dyr (ton)]]</f>
        <v>0</v>
      </c>
      <c r="O60" s="14">
        <f>1.17/1000</f>
        <v>1.17E-3</v>
      </c>
      <c r="P60" s="14">
        <v>0.48</v>
      </c>
      <c r="Q60" s="87">
        <v>0</v>
      </c>
      <c r="R60" s="87">
        <v>0</v>
      </c>
      <c r="S60" s="13">
        <f t="shared" si="5"/>
        <v>0.56134728</v>
      </c>
      <c r="T60" s="9">
        <f>(L60*1000)/365*M60*0.8*Q60</f>
        <v>0</v>
      </c>
      <c r="U60" s="7">
        <v>1.5</v>
      </c>
      <c r="V60" s="7">
        <v>0.36</v>
      </c>
      <c r="W60" s="9">
        <f t="shared" si="8"/>
        <v>2.0309544590399998E-3</v>
      </c>
      <c r="X60" s="69">
        <f>W60*I60</f>
        <v>0</v>
      </c>
      <c r="Z60" s="8"/>
    </row>
    <row r="61" spans="1:26" hidden="1" x14ac:dyDescent="0.25">
      <c r="A61" s="25" t="s">
        <v>198</v>
      </c>
      <c r="B61" s="78">
        <v>3302</v>
      </c>
      <c r="C61" s="4" t="s">
        <v>61</v>
      </c>
      <c r="D61" s="4" t="s">
        <v>149</v>
      </c>
      <c r="E61" s="4" t="s">
        <v>61</v>
      </c>
      <c r="F61" s="4" t="s">
        <v>155</v>
      </c>
      <c r="G61" s="4">
        <v>330201</v>
      </c>
      <c r="H61" s="4">
        <f>Tabel1[[#This Row],[Stald_kode]]+Tabel1[[#This Row],[Dyr_Kode]]</f>
        <v>333503</v>
      </c>
      <c r="I61" s="12">
        <v>0</v>
      </c>
      <c r="J61" s="15"/>
      <c r="K61" s="4" t="s">
        <v>29</v>
      </c>
      <c r="L61" s="14"/>
      <c r="M61" s="14"/>
      <c r="N61" s="14">
        <f>Tabel1[[#This Row],[Antal dyr i Kommunen 2018]]*Tabel1[[#This Row],[Gødning (g) pr. dyr (ton)]]</f>
        <v>0</v>
      </c>
      <c r="O61" s="14">
        <v>2.02</v>
      </c>
      <c r="P61" s="14">
        <v>0.48</v>
      </c>
      <c r="Q61" s="87">
        <v>0</v>
      </c>
      <c r="R61" s="87">
        <v>0</v>
      </c>
      <c r="S61" s="13">
        <f t="shared" si="5"/>
        <v>969.16368</v>
      </c>
      <c r="T61" s="9">
        <f>(O61*1000)/365*P61*0.8*Q61</f>
        <v>0</v>
      </c>
      <c r="U61" s="7">
        <v>1.5</v>
      </c>
      <c r="V61" s="7">
        <v>0.36</v>
      </c>
      <c r="W61" s="9">
        <f t="shared" si="8"/>
        <v>3.5064341942400001</v>
      </c>
      <c r="X61" s="79">
        <f>(W61*I61)/1000</f>
        <v>0</v>
      </c>
      <c r="Z61" s="8"/>
    </row>
    <row r="62" spans="1:26" hidden="1" x14ac:dyDescent="0.25">
      <c r="A62" s="25" t="s">
        <v>198</v>
      </c>
      <c r="B62" s="78">
        <v>3301</v>
      </c>
      <c r="C62" s="4" t="s">
        <v>129</v>
      </c>
      <c r="D62" s="4" t="s">
        <v>149</v>
      </c>
      <c r="E62" s="4" t="s">
        <v>67</v>
      </c>
      <c r="F62" s="4" t="s">
        <v>155</v>
      </c>
      <c r="G62" s="4">
        <v>330101</v>
      </c>
      <c r="H62" s="4">
        <f>Tabel1[[#This Row],[Stald_kode]]+Tabel1[[#This Row],[Dyr_Kode]]</f>
        <v>333402</v>
      </c>
      <c r="I62" s="12">
        <v>0</v>
      </c>
      <c r="J62" s="15"/>
      <c r="K62" s="4" t="s">
        <v>29</v>
      </c>
      <c r="L62" s="14"/>
      <c r="M62" s="14"/>
      <c r="N62" s="14">
        <f>Tabel1[[#This Row],[Antal dyr i Kommunen 2018]]*Tabel1[[#This Row],[Gødning (g) pr. dyr (ton)]]</f>
        <v>0</v>
      </c>
      <c r="O62" s="14">
        <f>1.01/100</f>
        <v>1.01E-2</v>
      </c>
      <c r="P62" s="14">
        <v>0.48</v>
      </c>
      <c r="Q62" s="87">
        <v>0</v>
      </c>
      <c r="R62" s="87">
        <v>0</v>
      </c>
      <c r="S62" s="13">
        <f t="shared" si="5"/>
        <v>4.8458183999999997</v>
      </c>
      <c r="T62" s="9">
        <f>(O62*1000)/365*P62*0.8*Q62</f>
        <v>0</v>
      </c>
      <c r="U62" s="7">
        <v>1.5</v>
      </c>
      <c r="V62" s="7">
        <v>0.36</v>
      </c>
      <c r="W62" s="9">
        <f t="shared" si="8"/>
        <v>1.7532170971199999E-2</v>
      </c>
      <c r="X62" s="79">
        <f>(W62*I62)/1000</f>
        <v>0</v>
      </c>
      <c r="Z62" s="8"/>
    </row>
    <row r="63" spans="1:26" hidden="1" x14ac:dyDescent="0.25">
      <c r="A63" s="24" t="s">
        <v>41</v>
      </c>
      <c r="B63" s="86">
        <v>1236</v>
      </c>
      <c r="C63" s="4" t="s">
        <v>75</v>
      </c>
      <c r="D63" s="4" t="s">
        <v>163</v>
      </c>
      <c r="E63" s="4" t="s">
        <v>10</v>
      </c>
      <c r="F63" s="4" t="s">
        <v>157</v>
      </c>
      <c r="G63" s="4">
        <v>123601</v>
      </c>
      <c r="H63" s="4">
        <f>Tabel1[[#This Row],[Stald_kode]]+Tabel1[[#This Row],[Dyr_Kode]]</f>
        <v>124837</v>
      </c>
      <c r="I63" s="12">
        <v>0</v>
      </c>
      <c r="J63" s="4" t="s">
        <v>124</v>
      </c>
      <c r="K63" s="4"/>
      <c r="L63" s="14">
        <v>3.36</v>
      </c>
      <c r="M63" s="14">
        <f>18.6/100</f>
        <v>0.18600000000000003</v>
      </c>
      <c r="N63" s="14">
        <f>Tabel1[[#This Row],[Antal dyr i Kommunen 2018]]*Tabel1[[#This Row],[Gødning (g) pr. dyr (ton)]]</f>
        <v>0</v>
      </c>
      <c r="O63" s="15"/>
      <c r="P63" s="14"/>
      <c r="Q63" s="14">
        <v>132</v>
      </c>
      <c r="R63" s="7">
        <v>181</v>
      </c>
      <c r="S63" s="13">
        <f t="shared" si="5"/>
        <v>319.15765479452062</v>
      </c>
      <c r="T63" s="9">
        <f t="shared" ref="T63:T92" si="11">(L63*1000)/365*M63*0.8*Q63</f>
        <v>180.81034520547948</v>
      </c>
      <c r="U63" s="7">
        <v>2</v>
      </c>
      <c r="V63" s="7">
        <v>0.18</v>
      </c>
      <c r="W63" s="9">
        <f t="shared" si="8"/>
        <v>1.2059228160000002</v>
      </c>
      <c r="X63" s="69">
        <f>W63*I63</f>
        <v>0</v>
      </c>
      <c r="Z63" s="8"/>
    </row>
    <row r="64" spans="1:26" hidden="1" x14ac:dyDescent="0.25">
      <c r="A64" s="26" t="s">
        <v>41</v>
      </c>
      <c r="B64" s="89"/>
      <c r="C64" s="4" t="s">
        <v>75</v>
      </c>
      <c r="D64" s="4" t="s">
        <v>163</v>
      </c>
      <c r="E64" s="4" t="s">
        <v>10</v>
      </c>
      <c r="F64" s="4" t="s">
        <v>157</v>
      </c>
      <c r="G64" s="4"/>
      <c r="H64" s="4">
        <f>Tabel1[[#This Row],[Stald_kode]]+Tabel1[[#This Row],[Dyr_Kode]]</f>
        <v>0</v>
      </c>
      <c r="I64" s="12"/>
      <c r="J64" s="4" t="s">
        <v>228</v>
      </c>
      <c r="K64" s="4"/>
      <c r="L64" s="14">
        <v>2.56</v>
      </c>
      <c r="M64" s="14">
        <f>3.1/100</f>
        <v>3.1E-2</v>
      </c>
      <c r="N64" s="14">
        <f>Tabel1[[#This Row],[Antal dyr i Kommunen 2018]]*Tabel1[[#This Row],[Gødning (g) pr. dyr (ton)]]</f>
        <v>0</v>
      </c>
      <c r="O64" s="15"/>
      <c r="P64" s="14"/>
      <c r="Q64" s="14">
        <v>132</v>
      </c>
      <c r="R64" s="7">
        <v>181</v>
      </c>
      <c r="S64" s="13">
        <f t="shared" si="5"/>
        <v>40.527956164383561</v>
      </c>
      <c r="T64" s="9">
        <f t="shared" si="11"/>
        <v>22.960043835616439</v>
      </c>
      <c r="U64" s="7">
        <v>12.5</v>
      </c>
      <c r="V64" s="7">
        <v>0.18</v>
      </c>
      <c r="W64" s="9">
        <f t="shared" si="8"/>
        <v>0.95708159999999998</v>
      </c>
      <c r="X64" s="69">
        <f>W64*I63</f>
        <v>0</v>
      </c>
      <c r="Z64" s="8"/>
    </row>
    <row r="65" spans="1:26" hidden="1" x14ac:dyDescent="0.25">
      <c r="A65" s="24" t="s">
        <v>41</v>
      </c>
      <c r="B65" s="86">
        <v>1236</v>
      </c>
      <c r="C65" s="4" t="s">
        <v>75</v>
      </c>
      <c r="D65" s="4" t="s">
        <v>163</v>
      </c>
      <c r="E65" s="4" t="s">
        <v>11</v>
      </c>
      <c r="F65" s="4" t="s">
        <v>157</v>
      </c>
      <c r="G65" s="4">
        <v>123602</v>
      </c>
      <c r="H65" s="4">
        <f>Tabel1[[#This Row],[Stald_kode]]+Tabel1[[#This Row],[Dyr_Kode]]</f>
        <v>124838</v>
      </c>
      <c r="I65" s="12">
        <v>0</v>
      </c>
      <c r="J65" s="4" t="s">
        <v>121</v>
      </c>
      <c r="K65" s="4"/>
      <c r="L65" s="14">
        <v>5.31</v>
      </c>
      <c r="M65" s="14">
        <f>12.7/100</f>
        <v>0.127</v>
      </c>
      <c r="N65" s="14">
        <f>Tabel1[[#This Row],[Antal dyr i Kommunen 2018]]*Tabel1[[#This Row],[Gødning (g) pr. dyr (ton)]]</f>
        <v>0</v>
      </c>
      <c r="O65" s="15"/>
      <c r="P65" s="14"/>
      <c r="Q65" s="14">
        <v>132</v>
      </c>
      <c r="R65" s="7">
        <v>181</v>
      </c>
      <c r="S65" s="13">
        <f t="shared" si="5"/>
        <v>344.39059726027403</v>
      </c>
      <c r="T65" s="9">
        <f t="shared" si="11"/>
        <v>195.10540273972606</v>
      </c>
      <c r="U65" s="7">
        <v>12.5</v>
      </c>
      <c r="V65" s="7">
        <v>0.18</v>
      </c>
      <c r="W65" s="9">
        <f t="shared" si="8"/>
        <v>8.132902200000002</v>
      </c>
      <c r="X65" s="69">
        <f>W65*I65</f>
        <v>0</v>
      </c>
      <c r="Z65" s="8"/>
    </row>
    <row r="66" spans="1:26" hidden="1" x14ac:dyDescent="0.25">
      <c r="A66" s="24" t="s">
        <v>41</v>
      </c>
      <c r="B66" s="86">
        <v>1236</v>
      </c>
      <c r="C66" s="4" t="s">
        <v>75</v>
      </c>
      <c r="D66" s="4" t="s">
        <v>163</v>
      </c>
      <c r="E66" s="4" t="s">
        <v>116</v>
      </c>
      <c r="F66" s="4" t="s">
        <v>29</v>
      </c>
      <c r="G66" s="4">
        <v>123604</v>
      </c>
      <c r="H66" s="4">
        <f>Tabel1[[#This Row],[Stald_kode]]+Tabel1[[#This Row],[Dyr_Kode]]</f>
        <v>124840</v>
      </c>
      <c r="I66" s="12">
        <v>0</v>
      </c>
      <c r="J66" s="4"/>
      <c r="K66" s="4"/>
      <c r="L66" s="14">
        <v>3.83</v>
      </c>
      <c r="M66" s="14">
        <f>30/100</f>
        <v>0.3</v>
      </c>
      <c r="N66" s="14">
        <f>Tabel1[[#This Row],[Antal dyr i Kommunen 2018]]*Tabel1[[#This Row],[Gødning (g) pr. dyr (ton)]]</f>
        <v>0</v>
      </c>
      <c r="O66" s="15"/>
      <c r="P66" s="14"/>
      <c r="Q66" s="14">
        <v>132</v>
      </c>
      <c r="R66" s="7">
        <v>181</v>
      </c>
      <c r="S66" s="13">
        <f t="shared" si="5"/>
        <v>586.7769863013699</v>
      </c>
      <c r="T66" s="9">
        <f t="shared" si="11"/>
        <v>332.42301369863014</v>
      </c>
      <c r="U66" s="7">
        <v>17</v>
      </c>
      <c r="V66" s="7">
        <v>0.18</v>
      </c>
      <c r="W66" s="9">
        <f t="shared" si="8"/>
        <v>18.845438399999999</v>
      </c>
      <c r="X66" s="69">
        <f>W66*I66</f>
        <v>0</v>
      </c>
      <c r="Z66" s="8"/>
    </row>
    <row r="67" spans="1:26" hidden="1" x14ac:dyDescent="0.25">
      <c r="A67" s="24" t="s">
        <v>41</v>
      </c>
      <c r="B67" s="86">
        <v>1236</v>
      </c>
      <c r="C67" s="4" t="s">
        <v>75</v>
      </c>
      <c r="D67" s="4" t="s">
        <v>163</v>
      </c>
      <c r="E67" s="4" t="s">
        <v>19</v>
      </c>
      <c r="F67" s="4" t="s">
        <v>29</v>
      </c>
      <c r="G67" s="4">
        <v>123603</v>
      </c>
      <c r="H67" s="4">
        <f>Tabel1[[#This Row],[Stald_kode]]+Tabel1[[#This Row],[Dyr_Kode]]</f>
        <v>124839</v>
      </c>
      <c r="I67" s="12">
        <v>1.07</v>
      </c>
      <c r="J67" s="15"/>
      <c r="K67" s="4" t="s">
        <v>29</v>
      </c>
      <c r="L67" s="13"/>
      <c r="M67" s="13"/>
      <c r="N67" s="13">
        <f>Tabel1[[#This Row],[Antal dyr i Kommunen 2018]]*Tabel1[[#This Row],[Gødning (g) pr. dyr (ton)]]</f>
        <v>0</v>
      </c>
      <c r="O67" s="13">
        <v>4.45</v>
      </c>
      <c r="P67" s="13">
        <v>0.3</v>
      </c>
      <c r="Q67" s="13">
        <v>18</v>
      </c>
      <c r="R67" s="7">
        <v>181</v>
      </c>
      <c r="S67" s="13">
        <f t="shared" si="5"/>
        <v>1268.5932595890411</v>
      </c>
      <c r="T67" s="9">
        <f t="shared" si="11"/>
        <v>0</v>
      </c>
      <c r="U67" s="7">
        <v>17</v>
      </c>
      <c r="V67" s="7">
        <v>0.18</v>
      </c>
      <c r="W67" s="9">
        <f t="shared" si="8"/>
        <v>26.008699008094521</v>
      </c>
      <c r="X67" s="79">
        <f>(W67*I67)/1000</f>
        <v>2.7829307938661139E-2</v>
      </c>
      <c r="Z67" s="8"/>
    </row>
    <row r="68" spans="1:26" hidden="1" x14ac:dyDescent="0.25">
      <c r="A68" s="24" t="s">
        <v>41</v>
      </c>
      <c r="B68" s="86">
        <v>1236</v>
      </c>
      <c r="C68" s="4" t="s">
        <v>75</v>
      </c>
      <c r="D68" s="4" t="s">
        <v>163</v>
      </c>
      <c r="E68" s="4" t="s">
        <v>119</v>
      </c>
      <c r="F68" s="4" t="s">
        <v>29</v>
      </c>
      <c r="G68" s="4">
        <v>123605</v>
      </c>
      <c r="H68" s="4">
        <f>Tabel1[[#This Row],[Stald_kode]]+Tabel1[[#This Row],[Dyr_Kode]]</f>
        <v>124841</v>
      </c>
      <c r="I68" s="12">
        <v>0</v>
      </c>
      <c r="J68" s="4" t="s">
        <v>121</v>
      </c>
      <c r="K68" s="4"/>
      <c r="L68" s="13">
        <v>2.1</v>
      </c>
      <c r="M68" s="13">
        <f>10.4/100</f>
        <v>0.10400000000000001</v>
      </c>
      <c r="N68" s="13">
        <f>Tabel1[[#This Row],[Antal dyr i Kommunen 2018]]*Tabel1[[#This Row],[Gødning (g) pr. dyr (ton)]]</f>
        <v>0</v>
      </c>
      <c r="O68" s="13"/>
      <c r="P68" s="13"/>
      <c r="Q68" s="13">
        <v>18</v>
      </c>
      <c r="R68" s="7">
        <v>181</v>
      </c>
      <c r="S68" s="13">
        <f t="shared" si="5"/>
        <v>166.10367123287674</v>
      </c>
      <c r="T68" s="9">
        <f t="shared" si="11"/>
        <v>8.6163287671232887</v>
      </c>
      <c r="U68" s="7">
        <v>12.5</v>
      </c>
      <c r="V68" s="7">
        <v>0.18</v>
      </c>
      <c r="W68" s="9">
        <f t="shared" si="8"/>
        <v>2.6339040000000002</v>
      </c>
      <c r="X68" s="69">
        <f>W68*I68</f>
        <v>0</v>
      </c>
      <c r="Z68" s="8"/>
    </row>
    <row r="69" spans="1:26" hidden="1" x14ac:dyDescent="0.25">
      <c r="A69" s="26" t="s">
        <v>41</v>
      </c>
      <c r="B69" s="89"/>
      <c r="C69" s="4" t="s">
        <v>75</v>
      </c>
      <c r="D69" s="4" t="s">
        <v>163</v>
      </c>
      <c r="E69" s="4" t="s">
        <v>119</v>
      </c>
      <c r="F69" s="4" t="s">
        <v>29</v>
      </c>
      <c r="G69" s="4"/>
      <c r="H69" s="4">
        <f>Tabel1[[#This Row],[Stald_kode]]+Tabel1[[#This Row],[Dyr_Kode]]</f>
        <v>0</v>
      </c>
      <c r="I69" s="12"/>
      <c r="J69" s="4"/>
      <c r="K69" s="4" t="s">
        <v>29</v>
      </c>
      <c r="L69" s="13"/>
      <c r="M69" s="13"/>
      <c r="N69" s="13">
        <f>Tabel1[[#This Row],[Antal dyr i Kommunen 2018]]*Tabel1[[#This Row],[Gødning (g) pr. dyr (ton)]]</f>
        <v>0</v>
      </c>
      <c r="O69" s="13">
        <v>3.31</v>
      </c>
      <c r="P69" s="13">
        <v>0.3</v>
      </c>
      <c r="Q69" s="13">
        <v>18</v>
      </c>
      <c r="R69" s="7">
        <v>181</v>
      </c>
      <c r="S69" s="13">
        <f t="shared" si="5"/>
        <v>943.60532342465763</v>
      </c>
      <c r="T69" s="9">
        <f t="shared" si="11"/>
        <v>0</v>
      </c>
      <c r="U69" s="7">
        <v>17</v>
      </c>
      <c r="V69" s="7">
        <v>0.18</v>
      </c>
      <c r="W69" s="9">
        <f t="shared" si="8"/>
        <v>19.345796340852331</v>
      </c>
      <c r="X69" s="69">
        <f>W69*I68</f>
        <v>0</v>
      </c>
      <c r="Z69" s="8"/>
    </row>
    <row r="70" spans="1:26" hidden="1" x14ac:dyDescent="0.25">
      <c r="A70" s="24" t="s">
        <v>41</v>
      </c>
      <c r="B70" s="86">
        <v>1236</v>
      </c>
      <c r="C70" s="4" t="s">
        <v>75</v>
      </c>
      <c r="D70" s="4" t="s">
        <v>163</v>
      </c>
      <c r="E70" s="4" t="s">
        <v>118</v>
      </c>
      <c r="F70" s="4" t="s">
        <v>29</v>
      </c>
      <c r="G70" s="4">
        <v>123607</v>
      </c>
      <c r="H70" s="4">
        <f>Tabel1[[#This Row],[Stald_kode]]+Tabel1[[#This Row],[Dyr_Kode]]</f>
        <v>124843</v>
      </c>
      <c r="I70" s="12">
        <v>0</v>
      </c>
      <c r="J70" s="4" t="s">
        <v>121</v>
      </c>
      <c r="K70" s="4"/>
      <c r="L70" s="13">
        <v>2.1</v>
      </c>
      <c r="M70" s="13">
        <v>0.10400000000000001</v>
      </c>
      <c r="N70" s="13">
        <f>Tabel1[[#This Row],[Antal dyr i Kommunen 2018]]*Tabel1[[#This Row],[Gødning (g) pr. dyr (ton)]]</f>
        <v>0</v>
      </c>
      <c r="O70" s="13"/>
      <c r="P70" s="13"/>
      <c r="Q70" s="13">
        <v>18</v>
      </c>
      <c r="R70" s="7">
        <v>181</v>
      </c>
      <c r="S70" s="13">
        <f t="shared" si="5"/>
        <v>166.10367123287674</v>
      </c>
      <c r="T70" s="9">
        <f t="shared" si="11"/>
        <v>8.6163287671232887</v>
      </c>
      <c r="U70" s="7">
        <v>12.5</v>
      </c>
      <c r="V70" s="7">
        <v>0.18</v>
      </c>
      <c r="W70" s="9">
        <f t="shared" si="8"/>
        <v>2.6339040000000002</v>
      </c>
      <c r="X70" s="69">
        <f>W70*I70</f>
        <v>0</v>
      </c>
      <c r="Z70" s="8"/>
    </row>
    <row r="71" spans="1:26" hidden="1" x14ac:dyDescent="0.25">
      <c r="A71" s="26" t="s">
        <v>41</v>
      </c>
      <c r="B71" s="89"/>
      <c r="C71" s="4" t="s">
        <v>75</v>
      </c>
      <c r="D71" s="4" t="s">
        <v>163</v>
      </c>
      <c r="E71" s="4" t="s">
        <v>118</v>
      </c>
      <c r="F71" s="4" t="s">
        <v>29</v>
      </c>
      <c r="G71" s="4"/>
      <c r="H71" s="4">
        <f>Tabel1[[#This Row],[Stald_kode]]+Tabel1[[#This Row],[Dyr_Kode]]</f>
        <v>0</v>
      </c>
      <c r="I71" s="12"/>
      <c r="J71" s="4"/>
      <c r="K71" s="4" t="s">
        <v>29</v>
      </c>
      <c r="L71" s="13"/>
      <c r="M71" s="13"/>
      <c r="N71" s="13">
        <f>Tabel1[[#This Row],[Antal dyr i Kommunen 2018]]*Tabel1[[#This Row],[Gødning (g) pr. dyr (ton)]]</f>
        <v>0</v>
      </c>
      <c r="O71" s="13">
        <v>3.31</v>
      </c>
      <c r="P71" s="13">
        <v>0.3</v>
      </c>
      <c r="Q71" s="13">
        <v>18</v>
      </c>
      <c r="R71" s="7">
        <v>181</v>
      </c>
      <c r="S71" s="13">
        <f t="shared" si="5"/>
        <v>943.60532342465763</v>
      </c>
      <c r="T71" s="9">
        <f t="shared" si="11"/>
        <v>0</v>
      </c>
      <c r="U71" s="7">
        <v>17</v>
      </c>
      <c r="V71" s="7">
        <v>0.18</v>
      </c>
      <c r="W71" s="9">
        <f t="shared" si="8"/>
        <v>19.345796340852331</v>
      </c>
      <c r="X71" s="69">
        <f>W71*I70</f>
        <v>0</v>
      </c>
      <c r="Z71" s="8"/>
    </row>
    <row r="72" spans="1:26" hidden="1" x14ac:dyDescent="0.25">
      <c r="A72" s="24" t="s">
        <v>41</v>
      </c>
      <c r="B72" s="4">
        <v>1236</v>
      </c>
      <c r="C72" s="4" t="s">
        <v>75</v>
      </c>
      <c r="D72" s="4" t="s">
        <v>163</v>
      </c>
      <c r="E72" s="4" t="s">
        <v>12</v>
      </c>
      <c r="F72" s="4" t="s">
        <v>156</v>
      </c>
      <c r="G72" s="4">
        <v>123610</v>
      </c>
      <c r="H72" s="4">
        <f>Tabel1[[#This Row],[Stald_kode]]+Tabel1[[#This Row],[Dyr_Kode]]</f>
        <v>124846</v>
      </c>
      <c r="I72" s="12">
        <v>0</v>
      </c>
      <c r="J72" s="4" t="s">
        <v>121</v>
      </c>
      <c r="K72" s="4"/>
      <c r="L72" s="13">
        <v>4.6399999999999997</v>
      </c>
      <c r="M72" s="13">
        <f>12.7/100</f>
        <v>0.127</v>
      </c>
      <c r="N72" s="13">
        <f>Tabel1[[#This Row],[Antal dyr i Kommunen 2018]]*Tabel1[[#This Row],[Gødning (g) pr. dyr (ton)]]</f>
        <v>0</v>
      </c>
      <c r="O72" s="13">
        <v>5.75</v>
      </c>
      <c r="P72" s="13">
        <v>0.26</v>
      </c>
      <c r="Q72" s="13">
        <v>18</v>
      </c>
      <c r="R72" s="7">
        <v>181</v>
      </c>
      <c r="S72" s="13">
        <f t="shared" si="5"/>
        <v>1868.8100924657533</v>
      </c>
      <c r="T72" s="9">
        <f t="shared" si="11"/>
        <v>23.248306849315071</v>
      </c>
      <c r="U72" s="7">
        <v>12.5</v>
      </c>
      <c r="V72" s="7">
        <v>0.18</v>
      </c>
      <c r="W72" s="9">
        <f t="shared" si="8"/>
        <v>28.522780369674656</v>
      </c>
      <c r="X72" s="79">
        <f>(W72*I72)/1000</f>
        <v>0</v>
      </c>
      <c r="Z72" s="8"/>
    </row>
    <row r="73" spans="1:26" hidden="1" x14ac:dyDescent="0.25">
      <c r="A73" s="24" t="s">
        <v>41</v>
      </c>
      <c r="B73" s="4">
        <v>1236</v>
      </c>
      <c r="C73" s="4" t="s">
        <v>75</v>
      </c>
      <c r="D73" s="4" t="s">
        <v>163</v>
      </c>
      <c r="E73" s="4" t="s">
        <v>80</v>
      </c>
      <c r="F73" s="4" t="s">
        <v>156</v>
      </c>
      <c r="G73" s="4">
        <v>123612</v>
      </c>
      <c r="H73" s="4">
        <f>Tabel1[[#This Row],[Stald_kode]]+Tabel1[[#This Row],[Dyr_Kode]]</f>
        <v>124848</v>
      </c>
      <c r="I73" s="12">
        <v>0</v>
      </c>
      <c r="J73" s="4" t="s">
        <v>121</v>
      </c>
      <c r="K73" s="4"/>
      <c r="L73" s="13">
        <v>4.6399999999999997</v>
      </c>
      <c r="M73" s="13">
        <f>12.7/100</f>
        <v>0.127</v>
      </c>
      <c r="N73" s="13">
        <f>Tabel1[[#This Row],[Antal dyr i Kommunen 2018]]*Tabel1[[#This Row],[Gødning (g) pr. dyr (ton)]]</f>
        <v>0</v>
      </c>
      <c r="O73" s="13">
        <v>1.21</v>
      </c>
      <c r="P73" s="13">
        <v>0.34599999999999997</v>
      </c>
      <c r="Q73" s="13">
        <v>18</v>
      </c>
      <c r="R73" s="7">
        <v>181</v>
      </c>
      <c r="S73" s="13">
        <f t="shared" si="5"/>
        <v>846.01034038630132</v>
      </c>
      <c r="T73" s="9">
        <f t="shared" si="11"/>
        <v>23.248306849315071</v>
      </c>
      <c r="U73" s="7">
        <v>12.5</v>
      </c>
      <c r="V73" s="7">
        <v>0.18</v>
      </c>
      <c r="W73" s="9">
        <f t="shared" si="8"/>
        <v>13.104074107076919</v>
      </c>
      <c r="X73" s="79">
        <f>(W73*I73)/1000</f>
        <v>0</v>
      </c>
      <c r="Z73" s="8"/>
    </row>
    <row r="74" spans="1:26" hidden="1" x14ac:dyDescent="0.25">
      <c r="A74" s="24" t="s">
        <v>41</v>
      </c>
      <c r="B74" s="86">
        <v>1236</v>
      </c>
      <c r="C74" s="4" t="s">
        <v>75</v>
      </c>
      <c r="D74" s="4" t="s">
        <v>163</v>
      </c>
      <c r="E74" s="4" t="s">
        <v>18</v>
      </c>
      <c r="F74" s="4" t="s">
        <v>156</v>
      </c>
      <c r="G74" s="4">
        <v>123611</v>
      </c>
      <c r="H74" s="4">
        <f>Tabel1[[#This Row],[Stald_kode]]+Tabel1[[#This Row],[Dyr_Kode]]</f>
        <v>124847</v>
      </c>
      <c r="I74" s="12">
        <v>0</v>
      </c>
      <c r="J74" s="4" t="s">
        <v>121</v>
      </c>
      <c r="K74" s="4"/>
      <c r="L74" s="13">
        <v>4.6399999999999997</v>
      </c>
      <c r="M74" s="13">
        <f>12.7/100</f>
        <v>0.127</v>
      </c>
      <c r="N74" s="13">
        <f>Tabel1[[#This Row],[Antal dyr i Kommunen 2018]]*Tabel1[[#This Row],[Gødning (g) pr. dyr (ton)]]</f>
        <v>0</v>
      </c>
      <c r="O74" s="13"/>
      <c r="P74" s="13"/>
      <c r="Q74" s="13">
        <v>18</v>
      </c>
      <c r="R74" s="7">
        <v>181</v>
      </c>
      <c r="S74" s="13">
        <f t="shared" si="5"/>
        <v>448.17569315068488</v>
      </c>
      <c r="T74" s="9">
        <f t="shared" si="11"/>
        <v>23.248306849315071</v>
      </c>
      <c r="U74" s="7">
        <v>12.5</v>
      </c>
      <c r="V74" s="7">
        <v>0.18</v>
      </c>
      <c r="W74" s="9">
        <f t="shared" si="8"/>
        <v>7.1067167999999992</v>
      </c>
      <c r="X74" s="69">
        <f>W74*I74</f>
        <v>0</v>
      </c>
      <c r="Z74" s="8"/>
    </row>
    <row r="75" spans="1:26" hidden="1" x14ac:dyDescent="0.25">
      <c r="A75" s="24" t="s">
        <v>41</v>
      </c>
      <c r="B75" s="86">
        <v>1236</v>
      </c>
      <c r="C75" s="4" t="s">
        <v>75</v>
      </c>
      <c r="D75" s="4" t="s">
        <v>163</v>
      </c>
      <c r="E75" s="4" t="s">
        <v>82</v>
      </c>
      <c r="F75" s="4" t="s">
        <v>156</v>
      </c>
      <c r="G75" s="4">
        <v>123619</v>
      </c>
      <c r="H75" s="4">
        <f>Tabel1[[#This Row],[Stald_kode]]+Tabel1[[#This Row],[Dyr_Kode]]</f>
        <v>124855</v>
      </c>
      <c r="I75" s="12">
        <v>0</v>
      </c>
      <c r="J75" s="4" t="s">
        <v>121</v>
      </c>
      <c r="K75" s="4"/>
      <c r="L75" s="13">
        <v>4.6399999999999997</v>
      </c>
      <c r="M75" s="13">
        <f>12.7/100</f>
        <v>0.127</v>
      </c>
      <c r="N75" s="13">
        <f>Tabel1[[#This Row],[Antal dyr i Kommunen 2018]]*Tabel1[[#This Row],[Gødning (g) pr. dyr (ton)]]</f>
        <v>0</v>
      </c>
      <c r="O75" s="13"/>
      <c r="P75" s="13"/>
      <c r="Q75" s="13">
        <v>18</v>
      </c>
      <c r="R75" s="7">
        <v>181</v>
      </c>
      <c r="S75" s="13">
        <f t="shared" si="5"/>
        <v>448.17569315068488</v>
      </c>
      <c r="T75" s="9">
        <f t="shared" si="11"/>
        <v>23.248306849315071</v>
      </c>
      <c r="U75" s="7">
        <v>12.5</v>
      </c>
      <c r="V75" s="7">
        <v>0.18</v>
      </c>
      <c r="W75" s="9">
        <f t="shared" si="8"/>
        <v>7.1067167999999992</v>
      </c>
      <c r="X75" s="69">
        <f>W75*I75</f>
        <v>0</v>
      </c>
      <c r="Z75" s="8"/>
    </row>
    <row r="76" spans="1:26" hidden="1" x14ac:dyDescent="0.25">
      <c r="A76" s="24" t="s">
        <v>41</v>
      </c>
      <c r="B76" s="86">
        <v>1236</v>
      </c>
      <c r="C76" s="4" t="s">
        <v>75</v>
      </c>
      <c r="D76" s="4" t="s">
        <v>163</v>
      </c>
      <c r="E76" s="4" t="s">
        <v>17</v>
      </c>
      <c r="F76" s="4" t="s">
        <v>158</v>
      </c>
      <c r="G76" s="4">
        <v>123609</v>
      </c>
      <c r="H76" s="4">
        <f>Tabel1[[#This Row],[Stald_kode]]+Tabel1[[#This Row],[Dyr_Kode]]</f>
        <v>124845</v>
      </c>
      <c r="I76" s="12">
        <v>0</v>
      </c>
      <c r="J76" s="4" t="s">
        <v>121</v>
      </c>
      <c r="K76" s="4"/>
      <c r="L76" s="13">
        <v>5.46</v>
      </c>
      <c r="M76" s="13">
        <f>10/100</f>
        <v>0.1</v>
      </c>
      <c r="N76" s="13">
        <f>Tabel1[[#This Row],[Antal dyr i Kommunen 2018]]*Tabel1[[#This Row],[Gødning (g) pr. dyr (ton)]]</f>
        <v>0</v>
      </c>
      <c r="O76" s="13"/>
      <c r="P76" s="13"/>
      <c r="Q76" s="13">
        <v>18</v>
      </c>
      <c r="R76" s="7">
        <v>181</v>
      </c>
      <c r="S76" s="13">
        <f t="shared" si="5"/>
        <v>415.25917808219185</v>
      </c>
      <c r="T76" s="9">
        <f t="shared" si="11"/>
        <v>21.54082191780822</v>
      </c>
      <c r="U76" s="7">
        <v>12.5</v>
      </c>
      <c r="V76" s="7">
        <v>0.18</v>
      </c>
      <c r="W76" s="9">
        <f t="shared" si="8"/>
        <v>6.5847600000000011</v>
      </c>
      <c r="X76" s="69">
        <f>W76*I76</f>
        <v>0</v>
      </c>
      <c r="Z76" s="8"/>
    </row>
    <row r="77" spans="1:26" hidden="1" x14ac:dyDescent="0.25">
      <c r="A77" s="24" t="s">
        <v>41</v>
      </c>
      <c r="B77" s="4">
        <v>1206</v>
      </c>
      <c r="C77" s="4" t="s">
        <v>71</v>
      </c>
      <c r="D77" s="4" t="s">
        <v>163</v>
      </c>
      <c r="E77" s="4" t="s">
        <v>10</v>
      </c>
      <c r="F77" s="4" t="s">
        <v>157</v>
      </c>
      <c r="G77" s="4">
        <v>120601</v>
      </c>
      <c r="H77" s="4">
        <f>Tabel1[[#This Row],[Stald_kode]]+Tabel1[[#This Row],[Dyr_Kode]]</f>
        <v>121807</v>
      </c>
      <c r="I77" s="12">
        <v>0</v>
      </c>
      <c r="J77" s="4" t="s">
        <v>124</v>
      </c>
      <c r="K77" s="4"/>
      <c r="L77" s="13">
        <v>4.51</v>
      </c>
      <c r="M77" s="13">
        <f>18.2/100</f>
        <v>0.182</v>
      </c>
      <c r="N77" s="13">
        <f>Tabel1[[#This Row],[Antal dyr i Kommunen 2018]]*Tabel1[[#This Row],[Gødning (g) pr. dyr (ton)]]</f>
        <v>0</v>
      </c>
      <c r="O77" s="13">
        <v>0.06</v>
      </c>
      <c r="P77" s="13">
        <v>0.35</v>
      </c>
      <c r="Q77" s="13">
        <v>18</v>
      </c>
      <c r="R77" s="7">
        <v>181</v>
      </c>
      <c r="S77" s="13">
        <f t="shared" si="5"/>
        <v>644.22836397260278</v>
      </c>
      <c r="T77" s="9">
        <f t="shared" si="11"/>
        <v>32.383035616438356</v>
      </c>
      <c r="U77" s="7">
        <v>2</v>
      </c>
      <c r="V77" s="7">
        <v>0.18</v>
      </c>
      <c r="W77" s="9">
        <f t="shared" si="8"/>
        <v>1.6319866958087672</v>
      </c>
      <c r="X77" s="79">
        <f>(W77*I77)/1000</f>
        <v>0</v>
      </c>
      <c r="Z77" s="8"/>
    </row>
    <row r="78" spans="1:26" hidden="1" x14ac:dyDescent="0.25">
      <c r="A78" s="26" t="s">
        <v>41</v>
      </c>
      <c r="B78" s="80"/>
      <c r="C78" s="4" t="s">
        <v>71</v>
      </c>
      <c r="D78" s="4" t="s">
        <v>163</v>
      </c>
      <c r="E78" s="4" t="s">
        <v>10</v>
      </c>
      <c r="F78" s="4" t="s">
        <v>157</v>
      </c>
      <c r="G78" s="4"/>
      <c r="H78" s="4">
        <f>Tabel1[[#This Row],[Stald_kode]]+Tabel1[[#This Row],[Dyr_Kode]]</f>
        <v>0</v>
      </c>
      <c r="I78" s="12"/>
      <c r="J78" s="4" t="s">
        <v>127</v>
      </c>
      <c r="K78" s="15"/>
      <c r="L78" s="13">
        <v>3.17</v>
      </c>
      <c r="M78" s="13">
        <f>3.4/100</f>
        <v>3.4000000000000002E-2</v>
      </c>
      <c r="N78" s="13">
        <f>Tabel1[[#This Row],[Antal dyr i Kommunen 2018]]*Tabel1[[#This Row],[Gødning (g) pr. dyr (ton)]]</f>
        <v>0</v>
      </c>
      <c r="O78" s="13"/>
      <c r="P78" s="13"/>
      <c r="Q78" s="13">
        <v>18</v>
      </c>
      <c r="R78" s="7">
        <v>181</v>
      </c>
      <c r="S78" s="13">
        <f t="shared" si="5"/>
        <v>81.971857534246595</v>
      </c>
      <c r="T78" s="9">
        <f t="shared" si="11"/>
        <v>4.2521424657534252</v>
      </c>
      <c r="U78" s="7">
        <v>12.5</v>
      </c>
      <c r="V78" s="7">
        <v>0.18</v>
      </c>
      <c r="W78" s="9">
        <f t="shared" si="8"/>
        <v>1.2998268000000004</v>
      </c>
      <c r="X78" s="79">
        <f>(Tabel1[[#This Row],[CH4 pr. dyr (Kg)]]*I77)/1000</f>
        <v>0</v>
      </c>
      <c r="Z78" s="8"/>
    </row>
    <row r="79" spans="1:26" hidden="1" x14ac:dyDescent="0.25">
      <c r="A79" s="24" t="s">
        <v>41</v>
      </c>
      <c r="B79" s="4">
        <v>1206</v>
      </c>
      <c r="C79" s="4" t="s">
        <v>71</v>
      </c>
      <c r="D79" s="4" t="s">
        <v>163</v>
      </c>
      <c r="E79" s="4" t="s">
        <v>11</v>
      </c>
      <c r="F79" s="4" t="s">
        <v>157</v>
      </c>
      <c r="G79" s="4">
        <v>120602</v>
      </c>
      <c r="H79" s="4">
        <f>Tabel1[[#This Row],[Stald_kode]]+Tabel1[[#This Row],[Dyr_Kode]]</f>
        <v>121808</v>
      </c>
      <c r="I79" s="12">
        <v>0</v>
      </c>
      <c r="J79" s="4" t="s">
        <v>121</v>
      </c>
      <c r="K79" s="4"/>
      <c r="L79" s="13">
        <v>7.22</v>
      </c>
      <c r="M79" s="13">
        <f>12.3/100</f>
        <v>0.12300000000000001</v>
      </c>
      <c r="N79" s="13">
        <f>Tabel1[[#This Row],[Antal dyr i Kommunen 2018]]*Tabel1[[#This Row],[Gødning (g) pr. dyr (ton)]]</f>
        <v>0</v>
      </c>
      <c r="O79" s="13"/>
      <c r="P79" s="13"/>
      <c r="Q79" s="13">
        <v>18</v>
      </c>
      <c r="R79" s="7">
        <v>181</v>
      </c>
      <c r="S79" s="13">
        <f t="shared" si="5"/>
        <v>675.41220821917807</v>
      </c>
      <c r="T79" s="9">
        <f t="shared" si="11"/>
        <v>35.035791780821917</v>
      </c>
      <c r="U79" s="7">
        <v>12.5</v>
      </c>
      <c r="V79" s="7">
        <v>0.18</v>
      </c>
      <c r="W79" s="9">
        <f t="shared" si="8"/>
        <v>10.710003600000002</v>
      </c>
      <c r="X79" s="79">
        <f>(W79*I79)/1000</f>
        <v>0</v>
      </c>
      <c r="Z79" s="8"/>
    </row>
    <row r="80" spans="1:26" hidden="1" x14ac:dyDescent="0.25">
      <c r="A80" s="24" t="s">
        <v>41</v>
      </c>
      <c r="B80" s="4">
        <v>1206</v>
      </c>
      <c r="C80" s="4" t="s">
        <v>71</v>
      </c>
      <c r="D80" s="4" t="s">
        <v>163</v>
      </c>
      <c r="E80" s="4" t="s">
        <v>16</v>
      </c>
      <c r="F80" s="4" t="s">
        <v>29</v>
      </c>
      <c r="G80" s="4">
        <v>120604</v>
      </c>
      <c r="H80" s="4">
        <f>Tabel1[[#This Row],[Stald_kode]]+Tabel1[[#This Row],[Dyr_Kode]]</f>
        <v>121810</v>
      </c>
      <c r="I80" s="12">
        <v>0</v>
      </c>
      <c r="J80" s="15"/>
      <c r="K80" s="4" t="s">
        <v>29</v>
      </c>
      <c r="L80" s="13"/>
      <c r="M80" s="13"/>
      <c r="N80" s="13">
        <f>Tabel1[[#This Row],[Antal dyr i Kommunen 2018]]*Tabel1[[#This Row],[Gødning (g) pr. dyr (ton)]]</f>
        <v>0</v>
      </c>
      <c r="O80" s="13">
        <v>4.88</v>
      </c>
      <c r="P80" s="13">
        <f>30/100</f>
        <v>0.3</v>
      </c>
      <c r="Q80" s="13">
        <v>18</v>
      </c>
      <c r="R80" s="7">
        <v>181</v>
      </c>
      <c r="S80" s="13">
        <f t="shared" si="5"/>
        <v>1391.1764284931508</v>
      </c>
      <c r="T80" s="9">
        <f t="shared" si="11"/>
        <v>0</v>
      </c>
      <c r="U80" s="7">
        <v>17</v>
      </c>
      <c r="V80" s="7">
        <v>0.18</v>
      </c>
      <c r="W80" s="9">
        <f t="shared" si="8"/>
        <v>28.521899136966582</v>
      </c>
      <c r="X80" s="79">
        <f>(W80*I80)/1000</f>
        <v>0</v>
      </c>
      <c r="Z80" s="8"/>
    </row>
    <row r="81" spans="1:26" hidden="1" x14ac:dyDescent="0.25">
      <c r="A81" s="24" t="s">
        <v>41</v>
      </c>
      <c r="B81" s="4">
        <v>1206</v>
      </c>
      <c r="C81" s="4" t="s">
        <v>71</v>
      </c>
      <c r="D81" s="4" t="s">
        <v>163</v>
      </c>
      <c r="E81" s="4" t="s">
        <v>19</v>
      </c>
      <c r="F81" s="4" t="s">
        <v>29</v>
      </c>
      <c r="G81" s="4">
        <v>120603</v>
      </c>
      <c r="H81" s="4">
        <f>Tabel1[[#This Row],[Stald_kode]]+Tabel1[[#This Row],[Dyr_Kode]]</f>
        <v>121809</v>
      </c>
      <c r="I81" s="12">
        <v>9.8699999999999992</v>
      </c>
      <c r="J81" s="15"/>
      <c r="K81" s="4" t="s">
        <v>29</v>
      </c>
      <c r="L81" s="13"/>
      <c r="M81" s="13"/>
      <c r="N81" s="13">
        <f>Tabel1[[#This Row],[Antal dyr i Kommunen 2018]]*Tabel1[[#This Row],[Gødning (g) pr. dyr (ton)]]</f>
        <v>0</v>
      </c>
      <c r="O81" s="13">
        <v>5.52</v>
      </c>
      <c r="P81" s="13">
        <f>30/100</f>
        <v>0.3</v>
      </c>
      <c r="Q81" s="13">
        <v>18</v>
      </c>
      <c r="R81" s="7">
        <v>181</v>
      </c>
      <c r="S81" s="13">
        <f t="shared" si="5"/>
        <v>1573.6257961643835</v>
      </c>
      <c r="T81" s="9">
        <f t="shared" si="11"/>
        <v>0</v>
      </c>
      <c r="U81" s="7">
        <v>17</v>
      </c>
      <c r="V81" s="7">
        <v>0.18</v>
      </c>
      <c r="W81" s="9">
        <f t="shared" si="8"/>
        <v>32.262476072962187</v>
      </c>
      <c r="X81" s="79">
        <f>(W81*I81)/1000</f>
        <v>0.31843063884013673</v>
      </c>
      <c r="Z81" s="8"/>
    </row>
    <row r="82" spans="1:26" hidden="1" x14ac:dyDescent="0.25">
      <c r="A82" s="24" t="s">
        <v>41</v>
      </c>
      <c r="B82" s="86">
        <v>1206</v>
      </c>
      <c r="C82" s="4" t="s">
        <v>71</v>
      </c>
      <c r="D82" s="4" t="s">
        <v>163</v>
      </c>
      <c r="E82" s="4" t="s">
        <v>15</v>
      </c>
      <c r="F82" s="4" t="s">
        <v>29</v>
      </c>
      <c r="G82" s="4">
        <v>120605</v>
      </c>
      <c r="H82" s="4">
        <f>Tabel1[[#This Row],[Stald_kode]]+Tabel1[[#This Row],[Dyr_Kode]]</f>
        <v>121811</v>
      </c>
      <c r="I82" s="12">
        <v>0</v>
      </c>
      <c r="J82" s="4" t="s">
        <v>121</v>
      </c>
      <c r="K82" s="4"/>
      <c r="L82" s="13">
        <v>2.65</v>
      </c>
      <c r="M82" s="13">
        <f>11/100</f>
        <v>0.11</v>
      </c>
      <c r="N82" s="13">
        <f>Tabel1[[#This Row],[Antal dyr i Kommunen 2018]]*Tabel1[[#This Row],[Gødning (g) pr. dyr (ton)]]</f>
        <v>0</v>
      </c>
      <c r="O82" s="13"/>
      <c r="P82" s="13"/>
      <c r="Q82" s="13">
        <v>18</v>
      </c>
      <c r="R82" s="7">
        <v>181</v>
      </c>
      <c r="S82" s="13">
        <f t="shared" si="5"/>
        <v>221.69972602739728</v>
      </c>
      <c r="T82" s="9">
        <f t="shared" si="11"/>
        <v>11.50027397260274</v>
      </c>
      <c r="U82" s="7">
        <v>12.5</v>
      </c>
      <c r="V82" s="7">
        <v>0.18</v>
      </c>
      <c r="W82" s="9">
        <f t="shared" si="8"/>
        <v>3.5154900000000002</v>
      </c>
      <c r="X82" s="69">
        <f>W82*I82</f>
        <v>0</v>
      </c>
      <c r="Z82" s="8"/>
    </row>
    <row r="83" spans="1:26" hidden="1" x14ac:dyDescent="0.25">
      <c r="A83" s="26" t="s">
        <v>41</v>
      </c>
      <c r="B83" s="89"/>
      <c r="C83" s="4" t="s">
        <v>71</v>
      </c>
      <c r="D83" s="4" t="s">
        <v>163</v>
      </c>
      <c r="E83" s="4" t="s">
        <v>15</v>
      </c>
      <c r="F83" s="4" t="s">
        <v>29</v>
      </c>
      <c r="G83" s="4"/>
      <c r="H83" s="4">
        <f>Tabel1[[#This Row],[Stald_kode]]+Tabel1[[#This Row],[Dyr_Kode]]</f>
        <v>0</v>
      </c>
      <c r="I83" s="12"/>
      <c r="J83" s="4"/>
      <c r="K83" s="4" t="s">
        <v>29</v>
      </c>
      <c r="L83" s="13"/>
      <c r="M83" s="13"/>
      <c r="N83" s="13">
        <f>Tabel1[[#This Row],[Antal dyr i Kommunen 2018]]*Tabel1[[#This Row],[Gødning (g) pr. dyr (ton)]]</f>
        <v>0</v>
      </c>
      <c r="O83" s="13">
        <v>4.2</v>
      </c>
      <c r="P83" s="13">
        <v>0.3</v>
      </c>
      <c r="Q83" s="13">
        <v>18</v>
      </c>
      <c r="R83" s="7">
        <v>181</v>
      </c>
      <c r="S83" s="13">
        <f t="shared" si="5"/>
        <v>1197.3239753424657</v>
      </c>
      <c r="T83" s="9">
        <f t="shared" si="11"/>
        <v>0</v>
      </c>
      <c r="U83" s="7">
        <v>17</v>
      </c>
      <c r="V83" s="7">
        <v>0.18</v>
      </c>
      <c r="W83" s="9">
        <f t="shared" si="8"/>
        <v>24.54753614247123</v>
      </c>
      <c r="X83" s="69">
        <f>W83*I82</f>
        <v>0</v>
      </c>
      <c r="Z83" s="8"/>
    </row>
    <row r="84" spans="1:26" hidden="1" x14ac:dyDescent="0.25">
      <c r="A84" s="24" t="s">
        <v>41</v>
      </c>
      <c r="B84" s="4">
        <v>1206</v>
      </c>
      <c r="C84" s="4" t="s">
        <v>71</v>
      </c>
      <c r="D84" s="4" t="s">
        <v>163</v>
      </c>
      <c r="E84" s="4" t="s">
        <v>90</v>
      </c>
      <c r="F84" s="4" t="s">
        <v>29</v>
      </c>
      <c r="G84" s="4">
        <v>120607</v>
      </c>
      <c r="H84" s="4">
        <f>Tabel1[[#This Row],[Stald_kode]]+Tabel1[[#This Row],[Dyr_Kode]]</f>
        <v>121813</v>
      </c>
      <c r="I84" s="12">
        <v>0</v>
      </c>
      <c r="J84" s="4" t="s">
        <v>121</v>
      </c>
      <c r="K84" s="4"/>
      <c r="L84" s="13">
        <v>2.65</v>
      </c>
      <c r="M84" s="13">
        <f>11/100</f>
        <v>0.11</v>
      </c>
      <c r="N84" s="13">
        <f>Tabel1[[#This Row],[Antal dyr i Kommunen 2018]]*Tabel1[[#This Row],[Gødning (g) pr. dyr (ton)]]</f>
        <v>0</v>
      </c>
      <c r="O84" s="13"/>
      <c r="P84" s="13"/>
      <c r="Q84" s="13">
        <v>18</v>
      </c>
      <c r="R84" s="7">
        <v>181</v>
      </c>
      <c r="S84" s="13">
        <f t="shared" si="5"/>
        <v>221.69972602739728</v>
      </c>
      <c r="T84" s="9">
        <f t="shared" si="11"/>
        <v>11.50027397260274</v>
      </c>
      <c r="U84" s="7">
        <v>12.5</v>
      </c>
      <c r="V84" s="7">
        <v>0.18</v>
      </c>
      <c r="W84" s="9">
        <f t="shared" si="8"/>
        <v>3.5154900000000002</v>
      </c>
      <c r="X84" s="79">
        <f>(W84*I84)/1000</f>
        <v>0</v>
      </c>
      <c r="Z84" s="8"/>
    </row>
    <row r="85" spans="1:26" hidden="1" x14ac:dyDescent="0.25">
      <c r="A85" s="26" t="s">
        <v>41</v>
      </c>
      <c r="B85" s="80"/>
      <c r="C85" s="4" t="s">
        <v>71</v>
      </c>
      <c r="D85" s="4" t="s">
        <v>163</v>
      </c>
      <c r="E85" s="4" t="s">
        <v>90</v>
      </c>
      <c r="F85" s="4" t="s">
        <v>29</v>
      </c>
      <c r="G85" s="4"/>
      <c r="H85" s="4">
        <f>Tabel1[[#This Row],[Stald_kode]]+Tabel1[[#This Row],[Dyr_Kode]]</f>
        <v>0</v>
      </c>
      <c r="I85" s="12"/>
      <c r="J85" s="4"/>
      <c r="K85" s="4" t="s">
        <v>29</v>
      </c>
      <c r="L85" s="13"/>
      <c r="M85" s="13"/>
      <c r="N85" s="13">
        <f>Tabel1[[#This Row],[Antal dyr i Kommunen 2018]]*Tabel1[[#This Row],[Gødning (g) pr. dyr (ton)]]</f>
        <v>0</v>
      </c>
      <c r="O85" s="13">
        <v>4.2</v>
      </c>
      <c r="P85" s="13">
        <f>30/100</f>
        <v>0.3</v>
      </c>
      <c r="Q85" s="13">
        <v>18</v>
      </c>
      <c r="R85" s="7">
        <v>181</v>
      </c>
      <c r="S85" s="13">
        <f t="shared" si="5"/>
        <v>1197.3239753424657</v>
      </c>
      <c r="T85" s="9">
        <f t="shared" si="11"/>
        <v>0</v>
      </c>
      <c r="U85" s="7">
        <v>17</v>
      </c>
      <c r="V85" s="7">
        <v>0.18</v>
      </c>
      <c r="W85" s="9">
        <f t="shared" si="8"/>
        <v>24.54753614247123</v>
      </c>
      <c r="X85" s="79">
        <f>(Tabel1[[#This Row],[CH4 pr. dyr (Kg)]]*I84)/1000</f>
        <v>0</v>
      </c>
      <c r="Z85" s="8"/>
    </row>
    <row r="86" spans="1:26" hidden="1" x14ac:dyDescent="0.25">
      <c r="A86" s="24" t="s">
        <v>41</v>
      </c>
      <c r="B86" s="86">
        <v>1206</v>
      </c>
      <c r="C86" s="4" t="s">
        <v>71</v>
      </c>
      <c r="D86" s="4" t="s">
        <v>163</v>
      </c>
      <c r="E86" s="4" t="s">
        <v>227</v>
      </c>
      <c r="F86" s="4" t="s">
        <v>29</v>
      </c>
      <c r="G86" s="4">
        <v>120606</v>
      </c>
      <c r="H86" s="4">
        <f>Tabel1[[#This Row],[Stald_kode]]+Tabel1[[#This Row],[Dyr_Kode]]</f>
        <v>121812</v>
      </c>
      <c r="I86" s="12">
        <v>0</v>
      </c>
      <c r="J86" s="4" t="s">
        <v>121</v>
      </c>
      <c r="K86" s="4"/>
      <c r="L86" s="13">
        <v>2.65</v>
      </c>
      <c r="M86" s="13">
        <f>11/100</f>
        <v>0.11</v>
      </c>
      <c r="N86" s="13">
        <f>Tabel1[[#This Row],[Antal dyr i Kommunen 2018]]*Tabel1[[#This Row],[Gødning (g) pr. dyr (ton)]]</f>
        <v>0</v>
      </c>
      <c r="O86" s="13"/>
      <c r="P86" s="13"/>
      <c r="Q86" s="13">
        <v>18</v>
      </c>
      <c r="R86" s="7">
        <v>181</v>
      </c>
      <c r="S86" s="13">
        <f t="shared" si="5"/>
        <v>221.69972602739728</v>
      </c>
      <c r="T86" s="9">
        <f t="shared" si="11"/>
        <v>11.50027397260274</v>
      </c>
      <c r="U86" s="7">
        <v>12.5</v>
      </c>
      <c r="V86" s="7">
        <v>0.18</v>
      </c>
      <c r="W86" s="9">
        <f t="shared" si="8"/>
        <v>3.5154900000000002</v>
      </c>
      <c r="X86" s="69">
        <f>W86*I86</f>
        <v>0</v>
      </c>
      <c r="Z86" s="8"/>
    </row>
    <row r="87" spans="1:26" hidden="1" x14ac:dyDescent="0.25">
      <c r="A87" s="26" t="s">
        <v>41</v>
      </c>
      <c r="B87" s="89"/>
      <c r="C87" s="4" t="s">
        <v>71</v>
      </c>
      <c r="D87" s="4" t="s">
        <v>163</v>
      </c>
      <c r="E87" s="4" t="s">
        <v>227</v>
      </c>
      <c r="F87" s="4" t="s">
        <v>29</v>
      </c>
      <c r="G87" s="4"/>
      <c r="H87" s="4">
        <f>Tabel1[[#This Row],[Stald_kode]]+Tabel1[[#This Row],[Dyr_Kode]]</f>
        <v>0</v>
      </c>
      <c r="I87" s="12"/>
      <c r="J87" s="4"/>
      <c r="K87" s="4" t="s">
        <v>29</v>
      </c>
      <c r="L87" s="13"/>
      <c r="M87" s="13"/>
      <c r="N87" s="13">
        <f>Tabel1[[#This Row],[Antal dyr i Kommunen 2018]]*Tabel1[[#This Row],[Gødning (g) pr. dyr (ton)]]</f>
        <v>0</v>
      </c>
      <c r="O87" s="13">
        <v>4.2</v>
      </c>
      <c r="P87" s="13">
        <v>0.3</v>
      </c>
      <c r="Q87" s="13">
        <v>18</v>
      </c>
      <c r="R87" s="7">
        <v>181</v>
      </c>
      <c r="S87" s="13">
        <f t="shared" ref="S87:S150" si="12">(L87*1000)/365*M87*(365-Q87)*0.8+(O87*1000)/365*P87*(365-Q87)*(1-0.045/100)</f>
        <v>1197.3239753424657</v>
      </c>
      <c r="T87" s="9">
        <f t="shared" si="11"/>
        <v>0</v>
      </c>
      <c r="U87" s="7">
        <v>17</v>
      </c>
      <c r="V87" s="7">
        <v>0.18</v>
      </c>
      <c r="W87" s="9">
        <f t="shared" si="8"/>
        <v>24.54753614247123</v>
      </c>
      <c r="X87" s="69">
        <f>W87*I86</f>
        <v>0</v>
      </c>
      <c r="Z87" s="8"/>
    </row>
    <row r="88" spans="1:26" hidden="1" x14ac:dyDescent="0.25">
      <c r="A88" s="24" t="s">
        <v>41</v>
      </c>
      <c r="B88" s="4">
        <v>1206</v>
      </c>
      <c r="C88" s="4" t="s">
        <v>71</v>
      </c>
      <c r="D88" s="4" t="s">
        <v>163</v>
      </c>
      <c r="E88" s="4" t="s">
        <v>12</v>
      </c>
      <c r="F88" s="4" t="s">
        <v>156</v>
      </c>
      <c r="G88" s="4">
        <v>120610</v>
      </c>
      <c r="H88" s="4">
        <f>Tabel1[[#This Row],[Stald_kode]]+Tabel1[[#This Row],[Dyr_Kode]]</f>
        <v>121816</v>
      </c>
      <c r="I88" s="12">
        <v>0</v>
      </c>
      <c r="J88" s="4" t="s">
        <v>121</v>
      </c>
      <c r="K88" s="4"/>
      <c r="L88" s="13">
        <v>6.44</v>
      </c>
      <c r="M88" s="13">
        <f>12.3/100</f>
        <v>0.12300000000000001</v>
      </c>
      <c r="N88" s="13">
        <f>Tabel1[[#This Row],[Antal dyr i Kommunen 2018]]*Tabel1[[#This Row],[Gødning (g) pr. dyr (ton)]]</f>
        <v>0</v>
      </c>
      <c r="O88" s="13"/>
      <c r="P88" s="13"/>
      <c r="Q88" s="13">
        <v>18</v>
      </c>
      <c r="R88" s="7">
        <v>181</v>
      </c>
      <c r="S88" s="13">
        <f t="shared" si="12"/>
        <v>602.4452383561644</v>
      </c>
      <c r="T88" s="9">
        <f t="shared" si="11"/>
        <v>31.250761643835617</v>
      </c>
      <c r="U88" s="7">
        <v>12.5</v>
      </c>
      <c r="V88" s="7">
        <v>0.18</v>
      </c>
      <c r="W88" s="9">
        <f t="shared" si="8"/>
        <v>9.5529671999999994</v>
      </c>
      <c r="X88" s="79">
        <f>(W88*I88)/1000</f>
        <v>0</v>
      </c>
      <c r="Z88" s="8"/>
    </row>
    <row r="89" spans="1:26" hidden="1" x14ac:dyDescent="0.25">
      <c r="A89" s="24" t="s">
        <v>41</v>
      </c>
      <c r="B89" s="4">
        <v>1206</v>
      </c>
      <c r="C89" s="4" t="s">
        <v>71</v>
      </c>
      <c r="D89" s="4" t="s">
        <v>163</v>
      </c>
      <c r="E89" s="4" t="s">
        <v>80</v>
      </c>
      <c r="F89" s="4" t="s">
        <v>156</v>
      </c>
      <c r="G89" s="4">
        <v>120612</v>
      </c>
      <c r="H89" s="4">
        <f>Tabel1[[#This Row],[Stald_kode]]+Tabel1[[#This Row],[Dyr_Kode]]</f>
        <v>121818</v>
      </c>
      <c r="I89" s="12">
        <v>0</v>
      </c>
      <c r="J89" s="4" t="s">
        <v>121</v>
      </c>
      <c r="K89" s="4"/>
      <c r="L89" s="13">
        <v>6.44</v>
      </c>
      <c r="M89" s="13">
        <f>12.3/100</f>
        <v>0.12300000000000001</v>
      </c>
      <c r="N89" s="13">
        <f>Tabel1[[#This Row],[Antal dyr i Kommunen 2018]]*Tabel1[[#This Row],[Gødning (g) pr. dyr (ton)]]</f>
        <v>0</v>
      </c>
      <c r="O89" s="13"/>
      <c r="P89" s="13"/>
      <c r="Q89" s="13">
        <v>18</v>
      </c>
      <c r="R89" s="7">
        <v>181</v>
      </c>
      <c r="S89" s="13">
        <f t="shared" si="12"/>
        <v>602.4452383561644</v>
      </c>
      <c r="T89" s="9">
        <f t="shared" si="11"/>
        <v>31.250761643835617</v>
      </c>
      <c r="U89" s="7">
        <v>12.5</v>
      </c>
      <c r="V89" s="7">
        <v>0.18</v>
      </c>
      <c r="W89" s="9">
        <f t="shared" si="8"/>
        <v>9.5529671999999994</v>
      </c>
      <c r="X89" s="79">
        <f>(W89*I89)/1000</f>
        <v>0</v>
      </c>
      <c r="Z89" s="8"/>
    </row>
    <row r="90" spans="1:26" hidden="1" x14ac:dyDescent="0.25">
      <c r="A90" s="24" t="s">
        <v>41</v>
      </c>
      <c r="B90" s="4">
        <v>1206</v>
      </c>
      <c r="C90" s="4" t="s">
        <v>71</v>
      </c>
      <c r="D90" s="4" t="s">
        <v>163</v>
      </c>
      <c r="E90" s="4" t="s">
        <v>18</v>
      </c>
      <c r="F90" s="4" t="s">
        <v>156</v>
      </c>
      <c r="G90" s="4">
        <v>120611</v>
      </c>
      <c r="H90" s="4">
        <f>Tabel1[[#This Row],[Stald_kode]]+Tabel1[[#This Row],[Dyr_Kode]]</f>
        <v>121817</v>
      </c>
      <c r="I90" s="12">
        <v>0</v>
      </c>
      <c r="J90" s="4" t="s">
        <v>121</v>
      </c>
      <c r="K90" s="4"/>
      <c r="L90" s="13">
        <v>6.44</v>
      </c>
      <c r="M90" s="13">
        <f>12.3/100</f>
        <v>0.12300000000000001</v>
      </c>
      <c r="N90" s="13">
        <f>Tabel1[[#This Row],[Antal dyr i Kommunen 2018]]*Tabel1[[#This Row],[Gødning (g) pr. dyr (ton)]]</f>
        <v>0</v>
      </c>
      <c r="O90" s="13"/>
      <c r="P90" s="13"/>
      <c r="Q90" s="13">
        <v>18</v>
      </c>
      <c r="R90" s="7">
        <v>181</v>
      </c>
      <c r="S90" s="13">
        <f t="shared" si="12"/>
        <v>602.4452383561644</v>
      </c>
      <c r="T90" s="9">
        <f t="shared" si="11"/>
        <v>31.250761643835617</v>
      </c>
      <c r="U90" s="7">
        <v>12.5</v>
      </c>
      <c r="V90" s="7">
        <v>0.18</v>
      </c>
      <c r="W90" s="9">
        <f t="shared" si="8"/>
        <v>9.5529671999999994</v>
      </c>
      <c r="X90" s="79">
        <f>(W90*I90)/1000</f>
        <v>0</v>
      </c>
      <c r="Z90" s="8"/>
    </row>
    <row r="91" spans="1:26" hidden="1" x14ac:dyDescent="0.25">
      <c r="A91" s="24" t="s">
        <v>41</v>
      </c>
      <c r="B91" s="4">
        <v>1206</v>
      </c>
      <c r="C91" s="4" t="s">
        <v>71</v>
      </c>
      <c r="D91" s="4" t="s">
        <v>163</v>
      </c>
      <c r="E91" s="4" t="s">
        <v>17</v>
      </c>
      <c r="F91" s="4" t="s">
        <v>158</v>
      </c>
      <c r="G91" s="4">
        <v>120619</v>
      </c>
      <c r="H91" s="4">
        <f>Tabel1[[#This Row],[Stald_kode]]+Tabel1[[#This Row],[Dyr_Kode]]</f>
        <v>121825</v>
      </c>
      <c r="I91" s="12">
        <v>0</v>
      </c>
      <c r="J91" s="4" t="s">
        <v>121</v>
      </c>
      <c r="K91" s="4"/>
      <c r="L91" s="13">
        <v>7.28</v>
      </c>
      <c r="M91" s="13">
        <f>10/100</f>
        <v>0.1</v>
      </c>
      <c r="N91" s="13">
        <f>Tabel1[[#This Row],[Antal dyr i Kommunen 2018]]*Tabel1[[#This Row],[Gødning (g) pr. dyr (ton)]]</f>
        <v>0</v>
      </c>
      <c r="O91" s="13"/>
      <c r="P91" s="13"/>
      <c r="Q91" s="13">
        <v>18</v>
      </c>
      <c r="R91" s="7">
        <v>181</v>
      </c>
      <c r="S91" s="13">
        <f t="shared" si="12"/>
        <v>553.6789041095891</v>
      </c>
      <c r="T91" s="9">
        <f t="shared" si="11"/>
        <v>28.721095890410965</v>
      </c>
      <c r="U91" s="7">
        <v>12.5</v>
      </c>
      <c r="V91" s="7">
        <v>0.18</v>
      </c>
      <c r="W91" s="9">
        <f t="shared" si="8"/>
        <v>8.7796800000000008</v>
      </c>
      <c r="X91" s="79">
        <f>(W91*I91)/1000</f>
        <v>0</v>
      </c>
      <c r="Z91" s="8"/>
    </row>
    <row r="92" spans="1:26" hidden="1" x14ac:dyDescent="0.25">
      <c r="A92" s="24" t="s">
        <v>41</v>
      </c>
      <c r="B92" s="86">
        <v>1206</v>
      </c>
      <c r="C92" s="4" t="s">
        <v>226</v>
      </c>
      <c r="D92" s="4" t="s">
        <v>163</v>
      </c>
      <c r="E92" s="4" t="s">
        <v>82</v>
      </c>
      <c r="F92" s="4" t="s">
        <v>156</v>
      </c>
      <c r="G92" s="4">
        <v>120609</v>
      </c>
      <c r="H92" s="4">
        <f>Tabel1[[#This Row],[Stald_kode]]+Tabel1[[#This Row],[Dyr_Kode]]</f>
        <v>121815</v>
      </c>
      <c r="I92" s="12">
        <v>0</v>
      </c>
      <c r="J92" s="4" t="s">
        <v>121</v>
      </c>
      <c r="K92" s="4"/>
      <c r="L92" s="13">
        <v>6.44</v>
      </c>
      <c r="M92" s="13">
        <f>12.3/100</f>
        <v>0.12300000000000001</v>
      </c>
      <c r="N92" s="13">
        <f>Tabel1[[#This Row],[Antal dyr i Kommunen 2018]]*Tabel1[[#This Row],[Gødning (g) pr. dyr (ton)]]</f>
        <v>0</v>
      </c>
      <c r="O92" s="13"/>
      <c r="P92" s="13"/>
      <c r="Q92" s="13">
        <v>18</v>
      </c>
      <c r="R92" s="7">
        <v>181</v>
      </c>
      <c r="S92" s="13">
        <f t="shared" si="12"/>
        <v>602.4452383561644</v>
      </c>
      <c r="T92" s="9">
        <f t="shared" si="11"/>
        <v>31.250761643835617</v>
      </c>
      <c r="U92" s="7">
        <v>12.5</v>
      </c>
      <c r="V92" s="7">
        <v>0.18</v>
      </c>
      <c r="W92" s="9">
        <f t="shared" ref="W92:W155" si="13">(S92*U92/100*0.67*V92)+(T92*U92/100*0.67*V92)</f>
        <v>9.5529671999999994</v>
      </c>
      <c r="X92" s="69">
        <f>W92*I92</f>
        <v>0</v>
      </c>
      <c r="Z92" s="8"/>
    </row>
    <row r="93" spans="1:26" hidden="1" x14ac:dyDescent="0.25">
      <c r="A93" s="25" t="s">
        <v>41</v>
      </c>
      <c r="B93" s="78">
        <v>1234</v>
      </c>
      <c r="C93" s="4" t="s">
        <v>69</v>
      </c>
      <c r="D93" s="4" t="s">
        <v>248</v>
      </c>
      <c r="E93" s="4" t="s">
        <v>14</v>
      </c>
      <c r="F93" s="4" t="s">
        <v>29</v>
      </c>
      <c r="G93" s="4">
        <v>123401</v>
      </c>
      <c r="H93" s="4">
        <f>Tabel1[[#This Row],[Stald_kode]]+Tabel1[[#This Row],[Dyr_Kode]]</f>
        <v>124635</v>
      </c>
      <c r="I93" s="12">
        <v>8.31</v>
      </c>
      <c r="J93" s="15"/>
      <c r="K93" s="4" t="s">
        <v>29</v>
      </c>
      <c r="L93" s="14"/>
      <c r="M93" s="14"/>
      <c r="N93" s="14">
        <f>Tabel1[[#This Row],[Antal dyr i Kommunen 2018]]*Tabel1[[#This Row],[Gødning (g) pr. dyr (ton)]]</f>
        <v>0</v>
      </c>
      <c r="O93" s="14">
        <v>1.48</v>
      </c>
      <c r="P93" s="14">
        <v>0.3</v>
      </c>
      <c r="Q93" s="7">
        <v>18</v>
      </c>
      <c r="R93" s="7">
        <v>224</v>
      </c>
      <c r="S93" s="13">
        <f t="shared" si="12"/>
        <v>421.91416273972607</v>
      </c>
      <c r="T93" s="9">
        <f>(O93*1000)/365*P93*0.8*Q93</f>
        <v>17.516712328767127</v>
      </c>
      <c r="U93" s="7">
        <v>17</v>
      </c>
      <c r="V93" s="7">
        <v>0.18</v>
      </c>
      <c r="W93" s="9">
        <f t="shared" si="13"/>
        <v>9.0092118006542474</v>
      </c>
      <c r="X93" s="79">
        <f>(W93*I93)/1000</f>
        <v>7.4866550063436801E-2</v>
      </c>
      <c r="Z93" s="8"/>
    </row>
    <row r="94" spans="1:26" hidden="1" x14ac:dyDescent="0.25">
      <c r="A94" s="25" t="s">
        <v>41</v>
      </c>
      <c r="B94" s="78">
        <v>1234</v>
      </c>
      <c r="C94" s="4" t="s">
        <v>69</v>
      </c>
      <c r="D94" s="4" t="s">
        <v>248</v>
      </c>
      <c r="E94" s="4" t="s">
        <v>16</v>
      </c>
      <c r="F94" s="4" t="s">
        <v>29</v>
      </c>
      <c r="G94" s="4">
        <v>123402</v>
      </c>
      <c r="H94" s="4">
        <f>Tabel1[[#This Row],[Stald_kode]]+Tabel1[[#This Row],[Dyr_Kode]]</f>
        <v>124636</v>
      </c>
      <c r="I94" s="12">
        <v>0</v>
      </c>
      <c r="J94" s="15"/>
      <c r="K94" s="4" t="s">
        <v>29</v>
      </c>
      <c r="L94" s="14"/>
      <c r="M94" s="14"/>
      <c r="N94" s="14">
        <f>Tabel1[[#This Row],[Antal dyr i Kommunen 2018]]*Tabel1[[#This Row],[Gødning (g) pr. dyr (ton)]]</f>
        <v>0</v>
      </c>
      <c r="O94" s="14">
        <v>1.48</v>
      </c>
      <c r="P94" s="14">
        <v>0.3</v>
      </c>
      <c r="Q94" s="7">
        <v>18</v>
      </c>
      <c r="R94" s="7">
        <v>224</v>
      </c>
      <c r="S94" s="13">
        <f t="shared" si="12"/>
        <v>421.91416273972607</v>
      </c>
      <c r="T94" s="9">
        <f>(O94*1000)/365*P94*0.8*Q94</f>
        <v>17.516712328767127</v>
      </c>
      <c r="U94" s="7">
        <v>3</v>
      </c>
      <c r="V94" s="7">
        <v>0.18</v>
      </c>
      <c r="W94" s="9">
        <f t="shared" si="13"/>
        <v>1.5898609059978084</v>
      </c>
      <c r="X94" s="79">
        <f>(W94*I94)/1000</f>
        <v>0</v>
      </c>
      <c r="Z94" s="8"/>
    </row>
    <row r="95" spans="1:26" hidden="1" x14ac:dyDescent="0.25">
      <c r="A95" s="25" t="s">
        <v>41</v>
      </c>
      <c r="B95" s="78">
        <v>1204</v>
      </c>
      <c r="C95" s="4" t="s">
        <v>52</v>
      </c>
      <c r="D95" s="4" t="s">
        <v>248</v>
      </c>
      <c r="E95" s="4" t="s">
        <v>14</v>
      </c>
      <c r="F95" s="4" t="s">
        <v>29</v>
      </c>
      <c r="G95" s="4">
        <v>120401</v>
      </c>
      <c r="H95" s="4">
        <f>Tabel1[[#This Row],[Stald_kode]]+Tabel1[[#This Row],[Dyr_Kode]]</f>
        <v>121605</v>
      </c>
      <c r="I95" s="12">
        <v>485</v>
      </c>
      <c r="J95" s="15"/>
      <c r="K95" s="4" t="s">
        <v>29</v>
      </c>
      <c r="L95" s="14"/>
      <c r="M95" s="14"/>
      <c r="N95" s="14">
        <f>Tabel1[[#This Row],[Antal dyr i Kommunen 2018]]*Tabel1[[#This Row],[Gødning (g) pr. dyr (ton)]]</f>
        <v>0</v>
      </c>
      <c r="O95" s="14">
        <v>0.98</v>
      </c>
      <c r="P95" s="14">
        <v>0.3</v>
      </c>
      <c r="Q95" s="7">
        <v>18</v>
      </c>
      <c r="R95" s="7">
        <v>224</v>
      </c>
      <c r="S95" s="13">
        <f t="shared" si="12"/>
        <v>279.37559424657536</v>
      </c>
      <c r="T95" s="9">
        <f>(O95*1000)/365*P95*0.8*Q95</f>
        <v>11.598904109589043</v>
      </c>
      <c r="U95" s="7">
        <v>17</v>
      </c>
      <c r="V95" s="7">
        <v>0.18</v>
      </c>
      <c r="W95" s="9">
        <f t="shared" si="13"/>
        <v>5.9655591652980817</v>
      </c>
      <c r="X95" s="79">
        <f>(W95*I95)/1000</f>
        <v>2.8932961951695697</v>
      </c>
      <c r="Z95" s="8"/>
    </row>
    <row r="96" spans="1:26" hidden="1" x14ac:dyDescent="0.25">
      <c r="A96" s="25" t="s">
        <v>41</v>
      </c>
      <c r="B96" s="78">
        <v>1204</v>
      </c>
      <c r="C96" s="4" t="s">
        <v>52</v>
      </c>
      <c r="D96" s="4" t="s">
        <v>248</v>
      </c>
      <c r="E96" s="4" t="s">
        <v>16</v>
      </c>
      <c r="F96" s="4" t="s">
        <v>29</v>
      </c>
      <c r="G96" s="4">
        <v>120402</v>
      </c>
      <c r="H96" s="4">
        <f>Tabel1[[#This Row],[Stald_kode]]+Tabel1[[#This Row],[Dyr_Kode]]</f>
        <v>121606</v>
      </c>
      <c r="I96" s="12">
        <v>0</v>
      </c>
      <c r="J96" s="15"/>
      <c r="K96" s="4" t="s">
        <v>29</v>
      </c>
      <c r="L96" s="14"/>
      <c r="M96" s="14"/>
      <c r="N96" s="14">
        <f>Tabel1[[#This Row],[Antal dyr i Kommunen 2018]]*Tabel1[[#This Row],[Gødning (g) pr. dyr (ton)]]</f>
        <v>0</v>
      </c>
      <c r="O96" s="14">
        <v>0.98</v>
      </c>
      <c r="P96" s="14">
        <v>0.3</v>
      </c>
      <c r="Q96" s="7">
        <v>18</v>
      </c>
      <c r="R96" s="7">
        <v>224</v>
      </c>
      <c r="S96" s="13">
        <f t="shared" si="12"/>
        <v>279.37559424657536</v>
      </c>
      <c r="T96" s="9">
        <f>(O96*1000)/365*P96*0.8*Q96</f>
        <v>11.598904109589043</v>
      </c>
      <c r="U96" s="7">
        <v>3</v>
      </c>
      <c r="V96" s="7">
        <v>0.18</v>
      </c>
      <c r="W96" s="9">
        <f t="shared" si="13"/>
        <v>1.0527457350526028</v>
      </c>
      <c r="X96" s="79">
        <f>(W96*I96)/1000</f>
        <v>0</v>
      </c>
      <c r="Z96" s="8"/>
    </row>
    <row r="97" spans="1:26" hidden="1" x14ac:dyDescent="0.25">
      <c r="A97" s="25" t="s">
        <v>41</v>
      </c>
      <c r="B97" s="78">
        <v>1235</v>
      </c>
      <c r="C97" s="4" t="s">
        <v>66</v>
      </c>
      <c r="D97" s="4" t="s">
        <v>249</v>
      </c>
      <c r="E97" s="4" t="s">
        <v>10</v>
      </c>
      <c r="F97" s="4" t="s">
        <v>157</v>
      </c>
      <c r="G97" s="4">
        <v>123501</v>
      </c>
      <c r="H97" s="4">
        <f>Tabel1[[#This Row],[Stald_kode]]+Tabel1[[#This Row],[Dyr_Kode]]</f>
        <v>124736</v>
      </c>
      <c r="I97" s="12">
        <v>0</v>
      </c>
      <c r="J97" s="4" t="s">
        <v>124</v>
      </c>
      <c r="K97" s="4"/>
      <c r="L97" s="14">
        <v>1.48</v>
      </c>
      <c r="M97" s="14">
        <f>21.1/100</f>
        <v>0.21100000000000002</v>
      </c>
      <c r="N97" s="14">
        <f>Tabel1[[#This Row],[Antal dyr i Kommunen 2018]]*Tabel1[[#This Row],[Gødning (g) pr. dyr (ton)]]</f>
        <v>0</v>
      </c>
      <c r="O97" s="15"/>
      <c r="P97" s="14"/>
      <c r="Q97" s="7">
        <v>18</v>
      </c>
      <c r="R97" s="7">
        <v>181</v>
      </c>
      <c r="S97" s="13">
        <f t="shared" si="12"/>
        <v>237.5039123287672</v>
      </c>
      <c r="T97" s="9">
        <f>(L97*1000)/365*M97*0.8*Q97</f>
        <v>12.32008767123288</v>
      </c>
      <c r="U97" s="7">
        <v>2</v>
      </c>
      <c r="V97" s="7">
        <v>0.18</v>
      </c>
      <c r="W97" s="9">
        <f t="shared" si="13"/>
        <v>0.60257548800000027</v>
      </c>
      <c r="X97" s="79">
        <f>(W97*I97)/1000</f>
        <v>0</v>
      </c>
      <c r="Z97" s="8"/>
    </row>
    <row r="98" spans="1:26" hidden="1" x14ac:dyDescent="0.25">
      <c r="A98" s="26" t="s">
        <v>41</v>
      </c>
      <c r="B98" s="80"/>
      <c r="C98" s="4" t="s">
        <v>66</v>
      </c>
      <c r="D98" s="4" t="s">
        <v>249</v>
      </c>
      <c r="E98" s="4" t="s">
        <v>10</v>
      </c>
      <c r="F98" s="4" t="s">
        <v>157</v>
      </c>
      <c r="G98" s="4"/>
      <c r="H98" s="4">
        <f>Tabel1[[#This Row],[Stald_kode]]+Tabel1[[#This Row],[Dyr_Kode]]</f>
        <v>0</v>
      </c>
      <c r="I98" s="12"/>
      <c r="J98" s="4" t="s">
        <v>127</v>
      </c>
      <c r="K98" s="15"/>
      <c r="L98" s="13">
        <v>1.07</v>
      </c>
      <c r="M98" s="13">
        <v>3.1E-2</v>
      </c>
      <c r="N98" s="13">
        <f>Tabel1[[#This Row],[Antal dyr i Kommunen 2018]]*Tabel1[[#This Row],[Gødning (g) pr. dyr (ton)]]</f>
        <v>0</v>
      </c>
      <c r="O98" s="14"/>
      <c r="P98" s="14"/>
      <c r="Q98" s="7">
        <v>18</v>
      </c>
      <c r="R98" s="7">
        <v>181</v>
      </c>
      <c r="S98" s="13">
        <f t="shared" si="12"/>
        <v>25.227375342465756</v>
      </c>
      <c r="T98" s="9">
        <f>(L98*1000)/365*M98*0.8*Q98</f>
        <v>1.3086246575342466</v>
      </c>
      <c r="U98" s="7">
        <v>12.5</v>
      </c>
      <c r="V98" s="7">
        <v>0.18</v>
      </c>
      <c r="W98" s="9">
        <f t="shared" si="13"/>
        <v>0.40003020000000006</v>
      </c>
      <c r="X98" s="79">
        <f>(Tabel1[[#This Row],[CH4 pr. dyr (Kg)]]*I97)/1000</f>
        <v>0</v>
      </c>
      <c r="Z98" s="8"/>
    </row>
    <row r="99" spans="1:26" hidden="1" x14ac:dyDescent="0.25">
      <c r="A99" s="25" t="s">
        <v>41</v>
      </c>
      <c r="B99" s="78">
        <v>1235</v>
      </c>
      <c r="C99" s="4" t="s">
        <v>66</v>
      </c>
      <c r="D99" s="4" t="s">
        <v>249</v>
      </c>
      <c r="E99" s="4" t="s">
        <v>11</v>
      </c>
      <c r="F99" s="4" t="s">
        <v>157</v>
      </c>
      <c r="G99" s="4">
        <v>123502</v>
      </c>
      <c r="H99" s="4">
        <f>Tabel1[[#This Row],[Stald_kode]]+Tabel1[[#This Row],[Dyr_Kode]]</f>
        <v>124737</v>
      </c>
      <c r="I99" s="12">
        <v>0</v>
      </c>
      <c r="J99" s="4" t="s">
        <v>121</v>
      </c>
      <c r="K99" s="4"/>
      <c r="L99" s="14">
        <v>3.12</v>
      </c>
      <c r="M99" s="14">
        <v>0.108</v>
      </c>
      <c r="N99" s="14">
        <f>Tabel1[[#This Row],[Antal dyr i Kommunen 2018]]*Tabel1[[#This Row],[Gødning (g) pr. dyr (ton)]]</f>
        <v>0</v>
      </c>
      <c r="O99" s="15"/>
      <c r="P99" s="14"/>
      <c r="Q99" s="7">
        <v>18</v>
      </c>
      <c r="R99" s="7">
        <v>181</v>
      </c>
      <c r="S99" s="13">
        <f t="shared" si="12"/>
        <v>256.27423561643838</v>
      </c>
      <c r="T99" s="9">
        <f>(L99*1000)/365*M99*0.8*Q99</f>
        <v>13.293764383561646</v>
      </c>
      <c r="U99" s="7">
        <v>12.5</v>
      </c>
      <c r="V99" s="7">
        <v>0.18</v>
      </c>
      <c r="W99" s="9">
        <f t="shared" si="13"/>
        <v>4.0637376000000005</v>
      </c>
      <c r="X99" s="79">
        <f>(W99*I99)/1000</f>
        <v>0</v>
      </c>
      <c r="Z99" s="8"/>
    </row>
    <row r="100" spans="1:26" hidden="1" x14ac:dyDescent="0.25">
      <c r="A100" s="25" t="s">
        <v>41</v>
      </c>
      <c r="B100" s="78">
        <v>1235</v>
      </c>
      <c r="C100" s="4" t="s">
        <v>66</v>
      </c>
      <c r="D100" s="4" t="s">
        <v>249</v>
      </c>
      <c r="E100" s="4" t="s">
        <v>116</v>
      </c>
      <c r="F100" s="4" t="s">
        <v>29</v>
      </c>
      <c r="G100" s="4">
        <v>123504</v>
      </c>
      <c r="H100" s="4">
        <f>Tabel1[[#This Row],[Stald_kode]]+Tabel1[[#This Row],[Dyr_Kode]]</f>
        <v>124739</v>
      </c>
      <c r="I100" s="12">
        <v>0</v>
      </c>
      <c r="J100" s="15"/>
      <c r="K100" s="4" t="s">
        <v>29</v>
      </c>
      <c r="L100" s="14"/>
      <c r="M100" s="14"/>
      <c r="N100" s="14">
        <f>Tabel1[[#This Row],[Antal dyr i Kommunen 2018]]*Tabel1[[#This Row],[Gødning (g) pr. dyr (ton)]]</f>
        <v>0</v>
      </c>
      <c r="O100" s="14">
        <v>1.71</v>
      </c>
      <c r="P100" s="14">
        <v>0.3</v>
      </c>
      <c r="Q100" s="7">
        <v>18</v>
      </c>
      <c r="R100" s="7">
        <v>181</v>
      </c>
      <c r="S100" s="13">
        <f t="shared" si="12"/>
        <v>487.48190424657531</v>
      </c>
      <c r="T100" s="9">
        <f>(O100*1000)/365*P100*0.8*Q100</f>
        <v>20.23890410958904</v>
      </c>
      <c r="U100" s="7">
        <v>3</v>
      </c>
      <c r="V100" s="7">
        <v>0.18</v>
      </c>
      <c r="W100" s="9">
        <f t="shared" si="13"/>
        <v>1.8369338846326027</v>
      </c>
      <c r="X100" s="79">
        <f>(W100*I100)/1000</f>
        <v>0</v>
      </c>
      <c r="Z100" s="8"/>
    </row>
    <row r="101" spans="1:26" hidden="1" x14ac:dyDescent="0.25">
      <c r="A101" s="25" t="s">
        <v>41</v>
      </c>
      <c r="B101" s="78">
        <v>1235</v>
      </c>
      <c r="C101" s="4" t="s">
        <v>66</v>
      </c>
      <c r="D101" s="4" t="s">
        <v>249</v>
      </c>
      <c r="E101" s="4" t="s">
        <v>19</v>
      </c>
      <c r="F101" s="4" t="s">
        <v>29</v>
      </c>
      <c r="G101" s="4">
        <v>123503</v>
      </c>
      <c r="H101" s="4">
        <f>Tabel1[[#This Row],[Stald_kode]]+Tabel1[[#This Row],[Dyr_Kode]]</f>
        <v>124738</v>
      </c>
      <c r="I101" s="12">
        <v>31.85</v>
      </c>
      <c r="J101" s="15"/>
      <c r="K101" s="4" t="s">
        <v>29</v>
      </c>
      <c r="L101" s="14"/>
      <c r="M101" s="14"/>
      <c r="N101" s="14">
        <f>Tabel1[[#This Row],[Antal dyr i Kommunen 2018]]*Tabel1[[#This Row],[Gødning (g) pr. dyr (ton)]]</f>
        <v>0</v>
      </c>
      <c r="O101" s="14">
        <v>1.95</v>
      </c>
      <c r="P101" s="14">
        <v>0.3</v>
      </c>
      <c r="Q101" s="7">
        <v>18</v>
      </c>
      <c r="R101" s="7">
        <v>181</v>
      </c>
      <c r="S101" s="13">
        <f t="shared" si="12"/>
        <v>555.90041712328764</v>
      </c>
      <c r="T101" s="9">
        <f>(O101*1000)/365*P101*0.8*Q101</f>
        <v>23.079452054794523</v>
      </c>
      <c r="U101" s="7">
        <v>17</v>
      </c>
      <c r="V101" s="7">
        <v>0.18</v>
      </c>
      <c r="W101" s="9">
        <f t="shared" si="13"/>
        <v>11.870245277889042</v>
      </c>
      <c r="X101" s="79">
        <f>(W101*I101)/1000</f>
        <v>0.378067312100766</v>
      </c>
      <c r="Z101" s="8"/>
    </row>
    <row r="102" spans="1:26" hidden="1" x14ac:dyDescent="0.25">
      <c r="A102" s="25" t="s">
        <v>41</v>
      </c>
      <c r="B102" s="78">
        <v>1235</v>
      </c>
      <c r="C102" s="4" t="s">
        <v>66</v>
      </c>
      <c r="D102" s="4" t="s">
        <v>249</v>
      </c>
      <c r="E102" s="4" t="s">
        <v>117</v>
      </c>
      <c r="F102" s="4" t="s">
        <v>29</v>
      </c>
      <c r="G102" s="4">
        <v>123506</v>
      </c>
      <c r="H102" s="4">
        <f>Tabel1[[#This Row],[Stald_kode]]+Tabel1[[#This Row],[Dyr_Kode]]</f>
        <v>124741</v>
      </c>
      <c r="I102" s="12">
        <v>0</v>
      </c>
      <c r="J102" s="4" t="s">
        <v>121</v>
      </c>
      <c r="K102" s="4"/>
      <c r="L102" s="14">
        <v>1.1399999999999999</v>
      </c>
      <c r="M102" s="14">
        <v>8.4000000000000005E-2</v>
      </c>
      <c r="N102" s="14">
        <f>Tabel1[[#This Row],[Antal dyr i Kommunen 2018]]*Tabel1[[#This Row],[Gødning (g) pr. dyr (ton)]]</f>
        <v>0</v>
      </c>
      <c r="O102" s="15"/>
      <c r="P102" s="14"/>
      <c r="Q102" s="7">
        <v>18</v>
      </c>
      <c r="R102" s="7">
        <v>181</v>
      </c>
      <c r="S102" s="13">
        <f t="shared" si="12"/>
        <v>72.830071232876719</v>
      </c>
      <c r="T102" s="9">
        <f>(L102*1000)/365*M102*0.8*Q102</f>
        <v>3.7779287671232886</v>
      </c>
      <c r="U102" s="7">
        <v>12.5</v>
      </c>
      <c r="V102" s="7">
        <v>0.18</v>
      </c>
      <c r="W102" s="9">
        <f t="shared" si="13"/>
        <v>1.1548656000000002</v>
      </c>
      <c r="X102" s="79">
        <f>(W102*I102)/1000</f>
        <v>0</v>
      </c>
      <c r="Z102" s="8"/>
    </row>
    <row r="103" spans="1:26" hidden="1" x14ac:dyDescent="0.25">
      <c r="A103" s="26" t="s">
        <v>41</v>
      </c>
      <c r="B103" s="80"/>
      <c r="C103" s="4" t="s">
        <v>66</v>
      </c>
      <c r="D103" s="4" t="s">
        <v>249</v>
      </c>
      <c r="E103" s="4" t="s">
        <v>117</v>
      </c>
      <c r="F103" s="4" t="s">
        <v>29</v>
      </c>
      <c r="G103" s="4"/>
      <c r="H103" s="4">
        <f>Tabel1[[#This Row],[Stald_kode]]+Tabel1[[#This Row],[Dyr_Kode]]</f>
        <v>0</v>
      </c>
      <c r="I103" s="12"/>
      <c r="J103" s="4"/>
      <c r="K103" s="4" t="s">
        <v>29</v>
      </c>
      <c r="L103" s="15"/>
      <c r="M103" s="15"/>
      <c r="N103" s="14">
        <f>Tabel1[[#This Row],[Antal dyr i Kommunen 2018]]*Tabel1[[#This Row],[Gødning (g) pr. dyr (ton)]]</f>
        <v>0</v>
      </c>
      <c r="O103" s="13">
        <v>1.44</v>
      </c>
      <c r="P103" s="13">
        <v>0.3</v>
      </c>
      <c r="Q103" s="7">
        <v>18</v>
      </c>
      <c r="R103" s="7">
        <v>181</v>
      </c>
      <c r="S103" s="13">
        <f t="shared" si="12"/>
        <v>410.51107726027391</v>
      </c>
      <c r="T103" s="9">
        <f>(O103*1000)/365*P103*0.8*Q103</f>
        <v>17.043287671232875</v>
      </c>
      <c r="U103" s="7">
        <v>17</v>
      </c>
      <c r="V103" s="7">
        <v>0.18</v>
      </c>
      <c r="W103" s="9">
        <f t="shared" si="13"/>
        <v>8.7657195898257534</v>
      </c>
      <c r="X103" s="79">
        <f>(Tabel1[[#This Row],[CH4 pr. dyr (Kg)]]*I102)/1000</f>
        <v>0</v>
      </c>
      <c r="Z103" s="8"/>
    </row>
    <row r="104" spans="1:26" hidden="1" x14ac:dyDescent="0.25">
      <c r="A104" s="25" t="s">
        <v>41</v>
      </c>
      <c r="B104" s="78">
        <v>1235</v>
      </c>
      <c r="C104" s="4" t="s">
        <v>66</v>
      </c>
      <c r="D104" s="4" t="s">
        <v>249</v>
      </c>
      <c r="E104" s="4" t="s">
        <v>119</v>
      </c>
      <c r="F104" s="4" t="s">
        <v>29</v>
      </c>
      <c r="G104" s="4">
        <v>123505</v>
      </c>
      <c r="H104" s="4">
        <f>Tabel1[[#This Row],[Stald_kode]]+Tabel1[[#This Row],[Dyr_Kode]]</f>
        <v>124740</v>
      </c>
      <c r="I104" s="12">
        <v>0</v>
      </c>
      <c r="J104" s="4" t="s">
        <v>121</v>
      </c>
      <c r="K104" s="4"/>
      <c r="L104" s="14">
        <v>1.1399999999999999</v>
      </c>
      <c r="M104" s="14">
        <v>8.4000000000000005E-2</v>
      </c>
      <c r="N104" s="14">
        <f>Tabel1[[#This Row],[Antal dyr i Kommunen 2018]]*Tabel1[[#This Row],[Gødning (g) pr. dyr (ton)]]</f>
        <v>0</v>
      </c>
      <c r="O104" s="15"/>
      <c r="P104" s="14"/>
      <c r="Q104" s="7">
        <v>18</v>
      </c>
      <c r="R104" s="7">
        <v>181</v>
      </c>
      <c r="S104" s="13">
        <f t="shared" si="12"/>
        <v>72.830071232876719</v>
      </c>
      <c r="T104" s="9">
        <f>(L104*1000)/365*M104*0.8*Q104</f>
        <v>3.7779287671232886</v>
      </c>
      <c r="U104" s="7">
        <v>12.5</v>
      </c>
      <c r="V104" s="7">
        <v>0.18</v>
      </c>
      <c r="W104" s="9">
        <f t="shared" si="13"/>
        <v>1.1548656000000002</v>
      </c>
      <c r="X104" s="79">
        <f>(W104*I104)/1000</f>
        <v>0</v>
      </c>
      <c r="Z104" s="8"/>
    </row>
    <row r="105" spans="1:26" hidden="1" x14ac:dyDescent="0.25">
      <c r="A105" s="26" t="s">
        <v>41</v>
      </c>
      <c r="B105" s="80"/>
      <c r="C105" s="4" t="s">
        <v>66</v>
      </c>
      <c r="D105" s="4" t="s">
        <v>249</v>
      </c>
      <c r="E105" s="4" t="s">
        <v>119</v>
      </c>
      <c r="F105" s="4" t="s">
        <v>29</v>
      </c>
      <c r="G105" s="4"/>
      <c r="H105" s="4">
        <f>Tabel1[[#This Row],[Stald_kode]]+Tabel1[[#This Row],[Dyr_Kode]]</f>
        <v>0</v>
      </c>
      <c r="I105" s="12"/>
      <c r="J105" s="4"/>
      <c r="K105" s="4" t="s">
        <v>29</v>
      </c>
      <c r="L105" s="15"/>
      <c r="M105" s="15"/>
      <c r="N105" s="14">
        <f>Tabel1[[#This Row],[Antal dyr i Kommunen 2018]]*Tabel1[[#This Row],[Gødning (g) pr. dyr (ton)]]</f>
        <v>0</v>
      </c>
      <c r="O105" s="13">
        <v>1.44</v>
      </c>
      <c r="P105" s="13">
        <v>0.3</v>
      </c>
      <c r="Q105" s="7">
        <v>18</v>
      </c>
      <c r="R105" s="7">
        <v>181</v>
      </c>
      <c r="S105" s="13">
        <f t="shared" si="12"/>
        <v>410.51107726027391</v>
      </c>
      <c r="T105" s="9">
        <f>(O105*1000)/365*P105*0.8*Q105</f>
        <v>17.043287671232875</v>
      </c>
      <c r="U105" s="7">
        <v>3</v>
      </c>
      <c r="V105" s="7">
        <v>0.18</v>
      </c>
      <c r="W105" s="9">
        <f t="shared" si="13"/>
        <v>1.5468916923221916</v>
      </c>
      <c r="X105" s="79">
        <f>(Tabel1[[#This Row],[CH4 pr. dyr (Kg)]]*I104)/1000</f>
        <v>0</v>
      </c>
      <c r="Z105" s="8"/>
    </row>
    <row r="106" spans="1:26" hidden="1" x14ac:dyDescent="0.25">
      <c r="A106" s="25" t="s">
        <v>41</v>
      </c>
      <c r="B106" s="78">
        <v>1235</v>
      </c>
      <c r="C106" s="4" t="s">
        <v>66</v>
      </c>
      <c r="D106" s="4" t="s">
        <v>249</v>
      </c>
      <c r="E106" s="4" t="s">
        <v>118</v>
      </c>
      <c r="F106" s="4" t="s">
        <v>29</v>
      </c>
      <c r="G106" s="4">
        <v>123507</v>
      </c>
      <c r="H106" s="4">
        <f>Tabel1[[#This Row],[Stald_kode]]+Tabel1[[#This Row],[Dyr_Kode]]</f>
        <v>124742</v>
      </c>
      <c r="I106" s="12">
        <v>0</v>
      </c>
      <c r="J106" s="4" t="s">
        <v>121</v>
      </c>
      <c r="K106" s="4"/>
      <c r="L106" s="14">
        <v>1.1399999999999999</v>
      </c>
      <c r="M106" s="14">
        <v>8.4000000000000005E-2</v>
      </c>
      <c r="N106" s="14">
        <f>Tabel1[[#This Row],[Antal dyr i Kommunen 2018]]*Tabel1[[#This Row],[Gødning (g) pr. dyr (ton)]]</f>
        <v>0</v>
      </c>
      <c r="O106" s="15"/>
      <c r="P106" s="14"/>
      <c r="Q106" s="7">
        <v>18</v>
      </c>
      <c r="R106" s="7">
        <v>181</v>
      </c>
      <c r="S106" s="13">
        <f t="shared" si="12"/>
        <v>72.830071232876719</v>
      </c>
      <c r="T106" s="9">
        <f>(L106*1000)/365*M106*0.8*Q106</f>
        <v>3.7779287671232886</v>
      </c>
      <c r="U106" s="7">
        <v>12.5</v>
      </c>
      <c r="V106" s="7">
        <v>0.18</v>
      </c>
      <c r="W106" s="9">
        <f t="shared" si="13"/>
        <v>1.1548656000000002</v>
      </c>
      <c r="X106" s="79">
        <f>(W106*I106)/1000</f>
        <v>0</v>
      </c>
      <c r="Z106" s="8"/>
    </row>
    <row r="107" spans="1:26" hidden="1" x14ac:dyDescent="0.25">
      <c r="A107" s="26" t="s">
        <v>41</v>
      </c>
      <c r="B107" s="80"/>
      <c r="C107" s="4" t="s">
        <v>66</v>
      </c>
      <c r="D107" s="4" t="s">
        <v>249</v>
      </c>
      <c r="E107" s="4" t="s">
        <v>118</v>
      </c>
      <c r="F107" s="4" t="s">
        <v>29</v>
      </c>
      <c r="G107" s="4"/>
      <c r="H107" s="4">
        <f>Tabel1[[#This Row],[Stald_kode]]+Tabel1[[#This Row],[Dyr_Kode]]</f>
        <v>0</v>
      </c>
      <c r="I107" s="12"/>
      <c r="J107" s="4"/>
      <c r="K107" s="4" t="s">
        <v>29</v>
      </c>
      <c r="L107" s="15"/>
      <c r="M107" s="15"/>
      <c r="N107" s="14">
        <f>Tabel1[[#This Row],[Antal dyr i Kommunen 2018]]*Tabel1[[#This Row],[Gødning (g) pr. dyr (ton)]]</f>
        <v>0</v>
      </c>
      <c r="O107" s="13">
        <v>1.44</v>
      </c>
      <c r="P107" s="13">
        <v>0.3</v>
      </c>
      <c r="Q107" s="7">
        <v>18</v>
      </c>
      <c r="R107" s="7">
        <v>181</v>
      </c>
      <c r="S107" s="13">
        <f t="shared" si="12"/>
        <v>410.51107726027391</v>
      </c>
      <c r="T107" s="9">
        <f>(O107*1000)/365*P107*0.8*Q107</f>
        <v>17.043287671232875</v>
      </c>
      <c r="U107" s="7">
        <v>17</v>
      </c>
      <c r="V107" s="7">
        <v>0.18</v>
      </c>
      <c r="W107" s="9">
        <f t="shared" si="13"/>
        <v>8.7657195898257534</v>
      </c>
      <c r="X107" s="79">
        <f>(Tabel1[[#This Row],[CH4 pr. dyr (Kg)]]*I106)/1000</f>
        <v>0</v>
      </c>
      <c r="Z107" s="8"/>
    </row>
    <row r="108" spans="1:26" hidden="1" x14ac:dyDescent="0.25">
      <c r="A108" s="25" t="s">
        <v>41</v>
      </c>
      <c r="B108" s="78">
        <v>1235</v>
      </c>
      <c r="C108" s="4" t="s">
        <v>66</v>
      </c>
      <c r="D108" s="4" t="s">
        <v>249</v>
      </c>
      <c r="E108" s="4" t="s">
        <v>12</v>
      </c>
      <c r="F108" s="4" t="s">
        <v>156</v>
      </c>
      <c r="G108" s="4">
        <v>123513</v>
      </c>
      <c r="H108" s="4">
        <f>Tabel1[[#This Row],[Stald_kode]]+Tabel1[[#This Row],[Dyr_Kode]]</f>
        <v>124748</v>
      </c>
      <c r="I108" s="12">
        <v>0</v>
      </c>
      <c r="J108" s="4" t="s">
        <v>121</v>
      </c>
      <c r="K108" s="4"/>
      <c r="L108" s="14">
        <v>2.14</v>
      </c>
      <c r="M108" s="14">
        <v>0.127</v>
      </c>
      <c r="N108" s="14">
        <f>Tabel1[[#This Row],[Antal dyr i Kommunen 2018]]*Tabel1[[#This Row],[Gødning (g) pr. dyr (ton)]]</f>
        <v>0</v>
      </c>
      <c r="O108" s="15"/>
      <c r="P108" s="14"/>
      <c r="Q108" s="7">
        <v>18</v>
      </c>
      <c r="R108" s="7">
        <v>181</v>
      </c>
      <c r="S108" s="13">
        <f t="shared" si="12"/>
        <v>206.70172054794523</v>
      </c>
      <c r="T108" s="9">
        <f t="shared" ref="T108:T115" si="14">(L108*1000)/365*M108*0.8*Q108</f>
        <v>10.722279452054796</v>
      </c>
      <c r="U108" s="7">
        <v>12.5</v>
      </c>
      <c r="V108" s="7">
        <v>0.18</v>
      </c>
      <c r="W108" s="9">
        <f t="shared" si="13"/>
        <v>3.2776668000000004</v>
      </c>
      <c r="X108" s="79">
        <f t="shared" ref="X108:X113" si="15">(W108*I108)/1000</f>
        <v>0</v>
      </c>
      <c r="Z108" s="8"/>
    </row>
    <row r="109" spans="1:26" hidden="1" x14ac:dyDescent="0.25">
      <c r="A109" s="25" t="s">
        <v>41</v>
      </c>
      <c r="B109" s="78">
        <v>1235</v>
      </c>
      <c r="C109" s="4" t="s">
        <v>66</v>
      </c>
      <c r="D109" s="4" t="s">
        <v>249</v>
      </c>
      <c r="E109" s="4" t="s">
        <v>77</v>
      </c>
      <c r="F109" s="4" t="s">
        <v>156</v>
      </c>
      <c r="G109" s="4">
        <v>123515</v>
      </c>
      <c r="H109" s="4">
        <f>Tabel1[[#This Row],[Stald_kode]]+Tabel1[[#This Row],[Dyr_Kode]]</f>
        <v>124750</v>
      </c>
      <c r="I109" s="12">
        <v>0</v>
      </c>
      <c r="J109" s="4" t="s">
        <v>121</v>
      </c>
      <c r="K109" s="4"/>
      <c r="L109" s="14">
        <v>2.14</v>
      </c>
      <c r="M109" s="14">
        <v>0.128</v>
      </c>
      <c r="N109" s="14">
        <f>Tabel1[[#This Row],[Antal dyr i Kommunen 2018]]*Tabel1[[#This Row],[Gødning (g) pr. dyr (ton)]]</f>
        <v>0</v>
      </c>
      <c r="O109" s="15"/>
      <c r="P109" s="14"/>
      <c r="Q109" s="7">
        <v>18</v>
      </c>
      <c r="R109" s="7">
        <v>181</v>
      </c>
      <c r="S109" s="13">
        <f t="shared" si="12"/>
        <v>208.32929315068498</v>
      </c>
      <c r="T109" s="9">
        <f t="shared" si="14"/>
        <v>10.80670684931507</v>
      </c>
      <c r="U109" s="7">
        <v>12.5</v>
      </c>
      <c r="V109" s="7">
        <v>0.18</v>
      </c>
      <c r="W109" s="9">
        <f t="shared" si="13"/>
        <v>3.3034752000000003</v>
      </c>
      <c r="X109" s="79">
        <f t="shared" si="15"/>
        <v>0</v>
      </c>
      <c r="Z109" s="8"/>
    </row>
    <row r="110" spans="1:26" hidden="1" x14ac:dyDescent="0.25">
      <c r="A110" s="25" t="s">
        <v>41</v>
      </c>
      <c r="B110" s="78">
        <v>1235</v>
      </c>
      <c r="C110" s="4" t="s">
        <v>66</v>
      </c>
      <c r="D110" s="4" t="s">
        <v>249</v>
      </c>
      <c r="E110" s="4" t="s">
        <v>13</v>
      </c>
      <c r="F110" s="4" t="s">
        <v>156</v>
      </c>
      <c r="G110" s="4">
        <v>123514</v>
      </c>
      <c r="H110" s="4">
        <f>Tabel1[[#This Row],[Stald_kode]]+Tabel1[[#This Row],[Dyr_Kode]]</f>
        <v>124749</v>
      </c>
      <c r="I110" s="12">
        <v>0</v>
      </c>
      <c r="J110" s="4" t="s">
        <v>121</v>
      </c>
      <c r="K110" s="4"/>
      <c r="L110" s="14">
        <v>2.14</v>
      </c>
      <c r="M110" s="14">
        <v>0.127</v>
      </c>
      <c r="N110" s="14">
        <f>Tabel1[[#This Row],[Antal dyr i Kommunen 2018]]*Tabel1[[#This Row],[Gødning (g) pr. dyr (ton)]]</f>
        <v>0</v>
      </c>
      <c r="O110" s="15"/>
      <c r="P110" s="14"/>
      <c r="Q110" s="7">
        <v>18</v>
      </c>
      <c r="R110" s="7">
        <v>181</v>
      </c>
      <c r="S110" s="13">
        <f t="shared" si="12"/>
        <v>206.70172054794523</v>
      </c>
      <c r="T110" s="9">
        <f t="shared" si="14"/>
        <v>10.722279452054796</v>
      </c>
      <c r="U110" s="7">
        <v>12.5</v>
      </c>
      <c r="V110" s="7">
        <v>0.18</v>
      </c>
      <c r="W110" s="9">
        <f t="shared" si="13"/>
        <v>3.2776668000000004</v>
      </c>
      <c r="X110" s="79">
        <f t="shared" si="15"/>
        <v>0</v>
      </c>
      <c r="Z110" s="8"/>
    </row>
    <row r="111" spans="1:26" hidden="1" x14ac:dyDescent="0.25">
      <c r="A111" s="25" t="s">
        <v>41</v>
      </c>
      <c r="B111" s="78">
        <v>1235</v>
      </c>
      <c r="C111" s="4" t="s">
        <v>66</v>
      </c>
      <c r="D111" s="4" t="s">
        <v>249</v>
      </c>
      <c r="E111" s="4" t="s">
        <v>82</v>
      </c>
      <c r="F111" s="4" t="s">
        <v>156</v>
      </c>
      <c r="G111" s="4">
        <v>123519</v>
      </c>
      <c r="H111" s="4">
        <f>Tabel1[[#This Row],[Stald_kode]]+Tabel1[[#This Row],[Dyr_Kode]]</f>
        <v>124754</v>
      </c>
      <c r="I111" s="12">
        <v>0</v>
      </c>
      <c r="J111" s="4" t="s">
        <v>121</v>
      </c>
      <c r="K111" s="4"/>
      <c r="L111" s="14">
        <v>2.14</v>
      </c>
      <c r="M111" s="14">
        <v>0.127</v>
      </c>
      <c r="N111" s="14">
        <f>Tabel1[[#This Row],[Antal dyr i Kommunen 2018]]*Tabel1[[#This Row],[Gødning (g) pr. dyr (ton)]]</f>
        <v>0</v>
      </c>
      <c r="O111" s="15"/>
      <c r="P111" s="14"/>
      <c r="Q111" s="7">
        <v>18</v>
      </c>
      <c r="R111" s="7">
        <v>181</v>
      </c>
      <c r="S111" s="13">
        <f t="shared" si="12"/>
        <v>206.70172054794523</v>
      </c>
      <c r="T111" s="9">
        <f t="shared" si="14"/>
        <v>10.722279452054796</v>
      </c>
      <c r="U111" s="7">
        <v>12.5</v>
      </c>
      <c r="V111" s="7">
        <v>0.18</v>
      </c>
      <c r="W111" s="9">
        <f t="shared" si="13"/>
        <v>3.2776668000000004</v>
      </c>
      <c r="X111" s="79">
        <f t="shared" si="15"/>
        <v>0</v>
      </c>
      <c r="Z111" s="8"/>
    </row>
    <row r="112" spans="1:26" hidden="1" x14ac:dyDescent="0.25">
      <c r="A112" s="25" t="s">
        <v>41</v>
      </c>
      <c r="B112" s="78">
        <v>1235</v>
      </c>
      <c r="C112" s="4" t="s">
        <v>66</v>
      </c>
      <c r="D112" s="4" t="s">
        <v>249</v>
      </c>
      <c r="E112" s="4" t="s">
        <v>17</v>
      </c>
      <c r="F112" s="4" t="s">
        <v>158</v>
      </c>
      <c r="G112" s="4">
        <v>123509</v>
      </c>
      <c r="H112" s="4">
        <f>Tabel1[[#This Row],[Stald_kode]]+Tabel1[[#This Row],[Dyr_Kode]]</f>
        <v>124744</v>
      </c>
      <c r="I112" s="12">
        <v>0</v>
      </c>
      <c r="J112" s="4" t="s">
        <v>121</v>
      </c>
      <c r="K112" s="4"/>
      <c r="L112" s="14">
        <v>2.4500000000000002</v>
      </c>
      <c r="M112" s="14">
        <v>9.8000000000000004E-2</v>
      </c>
      <c r="N112" s="14">
        <f>Tabel1[[#This Row],[Antal dyr i Kommunen 2018]]*Tabel1[[#This Row],[Gødning (g) pr. dyr (ton)]]</f>
        <v>0</v>
      </c>
      <c r="O112" s="15"/>
      <c r="P112" s="14"/>
      <c r="Q112" s="7">
        <v>18</v>
      </c>
      <c r="R112" s="7">
        <v>181</v>
      </c>
      <c r="S112" s="13">
        <f t="shared" si="12"/>
        <v>182.60756164383562</v>
      </c>
      <c r="T112" s="9">
        <f t="shared" si="14"/>
        <v>9.4724383561643837</v>
      </c>
      <c r="U112" s="7">
        <v>12.5</v>
      </c>
      <c r="V112" s="7">
        <v>0.18</v>
      </c>
      <c r="W112" s="9">
        <f t="shared" si="13"/>
        <v>2.8956060000000003</v>
      </c>
      <c r="X112" s="79">
        <f t="shared" si="15"/>
        <v>0</v>
      </c>
      <c r="Z112" s="8"/>
    </row>
    <row r="113" spans="1:26" hidden="1" x14ac:dyDescent="0.25">
      <c r="A113" s="25" t="s">
        <v>41</v>
      </c>
      <c r="B113" s="78">
        <v>1205</v>
      </c>
      <c r="C113" s="4" t="s">
        <v>50</v>
      </c>
      <c r="D113" s="4" t="s">
        <v>249</v>
      </c>
      <c r="E113" s="4" t="s">
        <v>10</v>
      </c>
      <c r="F113" s="4" t="s">
        <v>157</v>
      </c>
      <c r="G113" s="4">
        <v>120501</v>
      </c>
      <c r="H113" s="4">
        <f>Tabel1[[#This Row],[Stald_kode]]+Tabel1[[#This Row],[Dyr_Kode]]</f>
        <v>121706</v>
      </c>
      <c r="I113" s="12">
        <v>5.1100000000000003</v>
      </c>
      <c r="J113" s="4" t="s">
        <v>124</v>
      </c>
      <c r="K113" s="4"/>
      <c r="L113" s="14">
        <v>1.92</v>
      </c>
      <c r="M113" s="14">
        <v>0.20599999999999999</v>
      </c>
      <c r="N113" s="14">
        <f>Tabel1[[#This Row],[Antal dyr i Kommunen 2018]]*Tabel1[[#This Row],[Gødning (g) pr. dyr (ton)]]</f>
        <v>9.8111999999999995</v>
      </c>
      <c r="O113" s="15"/>
      <c r="P113" s="14"/>
      <c r="Q113" s="7">
        <v>18</v>
      </c>
      <c r="R113" s="7">
        <v>181</v>
      </c>
      <c r="S113" s="13">
        <f t="shared" si="12"/>
        <v>300.81192328767116</v>
      </c>
      <c r="T113" s="9">
        <f t="shared" si="14"/>
        <v>15.604076712328764</v>
      </c>
      <c r="U113" s="7">
        <v>2</v>
      </c>
      <c r="V113" s="7">
        <v>0.18</v>
      </c>
      <c r="W113" s="9">
        <f t="shared" si="13"/>
        <v>0.76319539199999986</v>
      </c>
      <c r="X113" s="79">
        <f t="shared" si="15"/>
        <v>3.8999284531199994E-3</v>
      </c>
      <c r="Z113" s="8"/>
    </row>
    <row r="114" spans="1:26" hidden="1" x14ac:dyDescent="0.25">
      <c r="A114" s="26" t="s">
        <v>41</v>
      </c>
      <c r="B114" s="80"/>
      <c r="C114" s="4" t="s">
        <v>50</v>
      </c>
      <c r="D114" s="4" t="s">
        <v>249</v>
      </c>
      <c r="E114" s="4" t="s">
        <v>10</v>
      </c>
      <c r="F114" s="4" t="s">
        <v>157</v>
      </c>
      <c r="G114" s="4"/>
      <c r="H114" s="4">
        <f>Tabel1[[#This Row],[Stald_kode]]+Tabel1[[#This Row],[Dyr_Kode]]</f>
        <v>0</v>
      </c>
      <c r="I114" s="12"/>
      <c r="J114" s="4" t="s">
        <v>127</v>
      </c>
      <c r="K114" s="15"/>
      <c r="L114" s="14">
        <v>1.36</v>
      </c>
      <c r="M114" s="14">
        <v>3.1E-2</v>
      </c>
      <c r="N114" s="14">
        <f>Tabel1[[#This Row],[Antal dyr i Kommunen 2018]]*Tabel1[[#This Row],[Gødning (g) pr. dyr (ton)]]</f>
        <v>0</v>
      </c>
      <c r="O114" s="14"/>
      <c r="P114" s="14"/>
      <c r="Q114" s="7">
        <v>18</v>
      </c>
      <c r="R114" s="7">
        <v>181</v>
      </c>
      <c r="S114" s="13">
        <f t="shared" si="12"/>
        <v>32.064701369863009</v>
      </c>
      <c r="T114" s="9">
        <f t="shared" si="14"/>
        <v>1.6632986301369863</v>
      </c>
      <c r="U114" s="7">
        <v>12.5</v>
      </c>
      <c r="V114" s="7">
        <v>0.18</v>
      </c>
      <c r="W114" s="9">
        <f t="shared" si="13"/>
        <v>0.50844959999999995</v>
      </c>
      <c r="X114" s="79">
        <f>(Tabel1[[#This Row],[CH4 pr. dyr (Kg)]]*I113)/1000</f>
        <v>2.5981774559999996E-3</v>
      </c>
      <c r="Z114" s="8"/>
    </row>
    <row r="115" spans="1:26" hidden="1" x14ac:dyDescent="0.25">
      <c r="A115" s="25" t="s">
        <v>41</v>
      </c>
      <c r="B115" s="78">
        <v>1205</v>
      </c>
      <c r="C115" s="4" t="s">
        <v>50</v>
      </c>
      <c r="D115" s="4" t="s">
        <v>249</v>
      </c>
      <c r="E115" s="4" t="s">
        <v>11</v>
      </c>
      <c r="F115" s="4" t="s">
        <v>157</v>
      </c>
      <c r="G115" s="4">
        <v>120502</v>
      </c>
      <c r="H115" s="4">
        <f>Tabel1[[#This Row],[Stald_kode]]+Tabel1[[#This Row],[Dyr_Kode]]</f>
        <v>121707</v>
      </c>
      <c r="I115" s="12">
        <v>0</v>
      </c>
      <c r="J115" s="4" t="s">
        <v>121</v>
      </c>
      <c r="K115" s="4"/>
      <c r="L115" s="14">
        <v>3.31</v>
      </c>
      <c r="M115" s="14">
        <v>0.128</v>
      </c>
      <c r="N115" s="14">
        <f>Tabel1[[#This Row],[Antal dyr i Kommunen 2018]]*Tabel1[[#This Row],[Gødning (g) pr. dyr (ton)]]</f>
        <v>0</v>
      </c>
      <c r="O115" s="15"/>
      <c r="P115" s="14"/>
      <c r="Q115" s="7">
        <v>18</v>
      </c>
      <c r="R115" s="7">
        <v>181</v>
      </c>
      <c r="S115" s="13">
        <f t="shared" si="12"/>
        <v>322.22895342465756</v>
      </c>
      <c r="T115" s="9">
        <f t="shared" si="14"/>
        <v>16.715046575342466</v>
      </c>
      <c r="U115" s="7">
        <v>12.5</v>
      </c>
      <c r="V115" s="7">
        <v>0.18</v>
      </c>
      <c r="W115" s="9">
        <f t="shared" si="13"/>
        <v>5.1095808000000007</v>
      </c>
      <c r="X115" s="79">
        <f>(W115*I115)/1000</f>
        <v>0</v>
      </c>
      <c r="Z115" s="8"/>
    </row>
    <row r="116" spans="1:26" hidden="1" x14ac:dyDescent="0.25">
      <c r="A116" s="25" t="s">
        <v>41</v>
      </c>
      <c r="B116" s="78">
        <v>1205</v>
      </c>
      <c r="C116" s="4" t="s">
        <v>50</v>
      </c>
      <c r="D116" s="4" t="s">
        <v>249</v>
      </c>
      <c r="E116" s="4" t="s">
        <v>16</v>
      </c>
      <c r="F116" s="4" t="s">
        <v>29</v>
      </c>
      <c r="G116" s="4">
        <v>120504</v>
      </c>
      <c r="H116" s="4">
        <f>Tabel1[[#This Row],[Stald_kode]]+Tabel1[[#This Row],[Dyr_Kode]]</f>
        <v>121709</v>
      </c>
      <c r="I116" s="12">
        <v>139.69</v>
      </c>
      <c r="J116" s="15"/>
      <c r="K116" s="4" t="s">
        <v>29</v>
      </c>
      <c r="L116" s="14"/>
      <c r="M116" s="14"/>
      <c r="N116" s="14">
        <f>Tabel1[[#This Row],[Antal dyr i Kommunen 2018]]*Tabel1[[#This Row],[Gødning (g) pr. dyr (ton)]]</f>
        <v>0</v>
      </c>
      <c r="O116" s="14">
        <v>2.2400000000000002</v>
      </c>
      <c r="P116" s="14">
        <v>0.3</v>
      </c>
      <c r="Q116" s="7">
        <v>18</v>
      </c>
      <c r="R116" s="7">
        <v>181</v>
      </c>
      <c r="S116" s="13">
        <f t="shared" si="12"/>
        <v>638.57278684931498</v>
      </c>
      <c r="T116" s="9">
        <f>(O116*1000)/365*P116*0.8*Q116</f>
        <v>26.511780821917803</v>
      </c>
      <c r="U116" s="7">
        <v>3</v>
      </c>
      <c r="V116" s="7">
        <v>0.18</v>
      </c>
      <c r="W116" s="9">
        <f t="shared" si="13"/>
        <v>2.4062759658345203</v>
      </c>
      <c r="X116" s="79">
        <f>(W116*I116)/1000</f>
        <v>0.33613268966742416</v>
      </c>
      <c r="Z116" s="8"/>
    </row>
    <row r="117" spans="1:26" hidden="1" x14ac:dyDescent="0.25">
      <c r="A117" s="25" t="s">
        <v>41</v>
      </c>
      <c r="B117" s="78">
        <v>1205</v>
      </c>
      <c r="C117" s="4" t="s">
        <v>50</v>
      </c>
      <c r="D117" s="4" t="s">
        <v>249</v>
      </c>
      <c r="E117" s="4" t="s">
        <v>19</v>
      </c>
      <c r="F117" s="4" t="s">
        <v>29</v>
      </c>
      <c r="G117" s="4">
        <v>120503</v>
      </c>
      <c r="H117" s="4">
        <f>Tabel1[[#This Row],[Stald_kode]]+Tabel1[[#This Row],[Dyr_Kode]]</f>
        <v>121708</v>
      </c>
      <c r="I117" s="12">
        <v>376.81</v>
      </c>
      <c r="J117" s="15"/>
      <c r="K117" s="4" t="s">
        <v>29</v>
      </c>
      <c r="L117" s="14"/>
      <c r="M117" s="14"/>
      <c r="N117" s="14">
        <f>Tabel1[[#This Row],[Antal dyr i Kommunen 2018]]*Tabel1[[#This Row],[Gødning (g) pr. dyr (ton)]]</f>
        <v>0</v>
      </c>
      <c r="O117" s="14">
        <v>2.5299999999999998</v>
      </c>
      <c r="P117" s="14">
        <v>0.3</v>
      </c>
      <c r="Q117" s="7">
        <v>18</v>
      </c>
      <c r="R117" s="7">
        <v>181</v>
      </c>
      <c r="S117" s="13">
        <f t="shared" si="12"/>
        <v>721.24515657534243</v>
      </c>
      <c r="T117" s="9">
        <f>(O117*1000)/365*P117*0.8*Q117</f>
        <v>29.944109589041098</v>
      </c>
      <c r="U117" s="7">
        <v>17</v>
      </c>
      <c r="V117" s="7">
        <v>0.18</v>
      </c>
      <c r="W117" s="9">
        <f t="shared" si="13"/>
        <v>15.400882334902189</v>
      </c>
      <c r="X117" s="79">
        <f>(W117*I117)/1000</f>
        <v>5.8032064726144936</v>
      </c>
      <c r="Z117" s="8"/>
    </row>
    <row r="118" spans="1:26" hidden="1" x14ac:dyDescent="0.25">
      <c r="A118" s="25" t="s">
        <v>41</v>
      </c>
      <c r="B118" s="78">
        <v>1205</v>
      </c>
      <c r="C118" s="4" t="s">
        <v>50</v>
      </c>
      <c r="D118" s="4" t="s">
        <v>249</v>
      </c>
      <c r="E118" s="4" t="s">
        <v>15</v>
      </c>
      <c r="F118" s="4" t="s">
        <v>29</v>
      </c>
      <c r="G118" s="4">
        <v>120505</v>
      </c>
      <c r="H118" s="4">
        <f>Tabel1[[#This Row],[Stald_kode]]+Tabel1[[#This Row],[Dyr_Kode]]</f>
        <v>121710</v>
      </c>
      <c r="I118" s="12">
        <v>0</v>
      </c>
      <c r="J118" s="4" t="s">
        <v>121</v>
      </c>
      <c r="K118" s="4"/>
      <c r="L118" s="14">
        <v>1.36</v>
      </c>
      <c r="M118" s="14">
        <v>8.8999999999999996E-2</v>
      </c>
      <c r="N118" s="14">
        <f>Tabel1[[#This Row],[Antal dyr i Kommunen 2018]]*Tabel1[[#This Row],[Gødning (g) pr. dyr (ton)]]</f>
        <v>0</v>
      </c>
      <c r="O118" s="15"/>
      <c r="P118" s="14"/>
      <c r="Q118" s="7">
        <v>18</v>
      </c>
      <c r="R118" s="7">
        <v>181</v>
      </c>
      <c r="S118" s="13">
        <f t="shared" si="12"/>
        <v>92.056723287671218</v>
      </c>
      <c r="T118" s="9">
        <f>(L118*1000)/365*M118*0.8*Q118</f>
        <v>4.7752767123287665</v>
      </c>
      <c r="U118" s="7">
        <v>12.5</v>
      </c>
      <c r="V118" s="7">
        <v>0.18</v>
      </c>
      <c r="W118" s="9">
        <f t="shared" si="13"/>
        <v>1.4597423999999997</v>
      </c>
      <c r="X118" s="79">
        <f>(Tabel1[[#This Row],[CH4 pr. dyr (Kg)]]*Tabel1[[#This Row],[Antal dyr i Kommunen 2018]])/1000</f>
        <v>0</v>
      </c>
      <c r="Z118" s="8"/>
    </row>
    <row r="119" spans="1:26" hidden="1" x14ac:dyDescent="0.25">
      <c r="A119" s="26" t="s">
        <v>41</v>
      </c>
      <c r="B119" s="80"/>
      <c r="C119" s="4" t="s">
        <v>50</v>
      </c>
      <c r="D119" s="4" t="s">
        <v>249</v>
      </c>
      <c r="E119" s="4" t="s">
        <v>15</v>
      </c>
      <c r="F119" s="4" t="s">
        <v>29</v>
      </c>
      <c r="G119" s="4"/>
      <c r="H119" s="4">
        <f>Tabel1[[#This Row],[Stald_kode]]+Tabel1[[#This Row],[Dyr_Kode]]</f>
        <v>0</v>
      </c>
      <c r="I119" s="12"/>
      <c r="J119" s="4"/>
      <c r="K119" s="4" t="s">
        <v>29</v>
      </c>
      <c r="L119" s="15"/>
      <c r="M119" s="15"/>
      <c r="N119" s="14">
        <f>Tabel1[[#This Row],[Antal dyr i Kommunen 2018]]*Tabel1[[#This Row],[Gødning (g) pr. dyr (ton)]]</f>
        <v>0</v>
      </c>
      <c r="O119" s="13">
        <v>1.91</v>
      </c>
      <c r="P119" s="13">
        <v>0.3</v>
      </c>
      <c r="Q119" s="7">
        <v>18</v>
      </c>
      <c r="R119" s="7">
        <v>181</v>
      </c>
      <c r="S119" s="13">
        <f t="shared" si="12"/>
        <v>544.49733164383565</v>
      </c>
      <c r="T119" s="9">
        <f>(O119*1000)/365*P119*0.8*Q119</f>
        <v>22.606027397260277</v>
      </c>
      <c r="U119" s="7">
        <v>3</v>
      </c>
      <c r="V119" s="7">
        <v>0.18</v>
      </c>
      <c r="W119" s="9">
        <f t="shared" si="13"/>
        <v>2.0517799530106853</v>
      </c>
      <c r="X119" s="79">
        <f>(Tabel1[[#This Row],[CH4 pr. dyr (Kg)]]*I118)/1000</f>
        <v>0</v>
      </c>
      <c r="Z119" s="8"/>
    </row>
    <row r="120" spans="1:26" hidden="1" x14ac:dyDescent="0.25">
      <c r="A120" s="25" t="s">
        <v>41</v>
      </c>
      <c r="B120" s="78">
        <v>1205</v>
      </c>
      <c r="C120" s="4" t="s">
        <v>50</v>
      </c>
      <c r="D120" s="4" t="s">
        <v>249</v>
      </c>
      <c r="E120" s="4" t="s">
        <v>86</v>
      </c>
      <c r="F120" s="4" t="s">
        <v>29</v>
      </c>
      <c r="G120" s="4">
        <v>120507</v>
      </c>
      <c r="H120" s="4">
        <f>Tabel1[[#This Row],[Stald_kode]]+Tabel1[[#This Row],[Dyr_Kode]]</f>
        <v>121712</v>
      </c>
      <c r="I120" s="12">
        <v>0</v>
      </c>
      <c r="J120" s="4" t="s">
        <v>121</v>
      </c>
      <c r="K120" s="4"/>
      <c r="L120" s="14">
        <v>1.36</v>
      </c>
      <c r="M120" s="14">
        <v>8.8999999999999996E-2</v>
      </c>
      <c r="N120" s="14">
        <f>Tabel1[[#This Row],[Antal dyr i Kommunen 2018]]*Tabel1[[#This Row],[Gødning (g) pr. dyr (ton)]]</f>
        <v>0</v>
      </c>
      <c r="O120" s="15"/>
      <c r="P120" s="14"/>
      <c r="Q120" s="7">
        <v>18</v>
      </c>
      <c r="R120" s="7">
        <v>181</v>
      </c>
      <c r="S120" s="13">
        <f t="shared" si="12"/>
        <v>92.056723287671218</v>
      </c>
      <c r="T120" s="9">
        <f>(L120*1000)/365*M120*0.8*Q120</f>
        <v>4.7752767123287665</v>
      </c>
      <c r="U120" s="7">
        <v>12.5</v>
      </c>
      <c r="V120" s="7">
        <v>0.18</v>
      </c>
      <c r="W120" s="9">
        <f t="shared" si="13"/>
        <v>1.4597423999999997</v>
      </c>
      <c r="X120" s="79">
        <f>(W120*I120)/1000</f>
        <v>0</v>
      </c>
      <c r="Z120" s="8"/>
    </row>
    <row r="121" spans="1:26" hidden="1" x14ac:dyDescent="0.25">
      <c r="A121" s="26" t="s">
        <v>41</v>
      </c>
      <c r="B121" s="80"/>
      <c r="C121" s="4" t="s">
        <v>50</v>
      </c>
      <c r="D121" s="4" t="s">
        <v>249</v>
      </c>
      <c r="E121" s="4" t="s">
        <v>86</v>
      </c>
      <c r="F121" s="4" t="s">
        <v>29</v>
      </c>
      <c r="G121" s="4"/>
      <c r="H121" s="4">
        <f>Tabel1[[#This Row],[Stald_kode]]+Tabel1[[#This Row],[Dyr_Kode]]</f>
        <v>0</v>
      </c>
      <c r="I121" s="12"/>
      <c r="J121" s="4"/>
      <c r="K121" s="4" t="s">
        <v>29</v>
      </c>
      <c r="L121" s="15"/>
      <c r="M121" s="15"/>
      <c r="N121" s="14">
        <f>Tabel1[[#This Row],[Antal dyr i Kommunen 2018]]*Tabel1[[#This Row],[Gødning (g) pr. dyr (ton)]]</f>
        <v>0</v>
      </c>
      <c r="O121" s="14">
        <v>1.91</v>
      </c>
      <c r="P121" s="14">
        <v>0.3</v>
      </c>
      <c r="Q121" s="7">
        <v>18</v>
      </c>
      <c r="R121" s="7">
        <v>181</v>
      </c>
      <c r="S121" s="13">
        <f t="shared" si="12"/>
        <v>544.49733164383565</v>
      </c>
      <c r="T121" s="9">
        <f>(O121*1000)/365*P121*0.8*Q121</f>
        <v>22.606027397260277</v>
      </c>
      <c r="U121" s="7">
        <v>17</v>
      </c>
      <c r="V121" s="7">
        <v>0.18</v>
      </c>
      <c r="W121" s="9">
        <f t="shared" si="13"/>
        <v>11.626753067060548</v>
      </c>
      <c r="X121" s="79">
        <f>(Tabel1[[#This Row],[CH4 pr. dyr (Kg)]]*I120)/1000</f>
        <v>0</v>
      </c>
      <c r="Z121" s="8"/>
    </row>
    <row r="122" spans="1:26" hidden="1" x14ac:dyDescent="0.25">
      <c r="A122" s="25" t="s">
        <v>41</v>
      </c>
      <c r="B122" s="78">
        <v>1205</v>
      </c>
      <c r="C122" s="4" t="s">
        <v>50</v>
      </c>
      <c r="D122" s="4" t="s">
        <v>249</v>
      </c>
      <c r="E122" s="4" t="s">
        <v>90</v>
      </c>
      <c r="F122" s="4" t="s">
        <v>29</v>
      </c>
      <c r="G122" s="4">
        <v>120506</v>
      </c>
      <c r="H122" s="4">
        <f>Tabel1[[#This Row],[Stald_kode]]+Tabel1[[#This Row],[Dyr_Kode]]</f>
        <v>121711</v>
      </c>
      <c r="I122" s="12">
        <v>0</v>
      </c>
      <c r="J122" s="4" t="s">
        <v>121</v>
      </c>
      <c r="K122" s="4"/>
      <c r="L122" s="14">
        <v>1.36</v>
      </c>
      <c r="M122" s="14">
        <v>8.8999999999999996E-2</v>
      </c>
      <c r="N122" s="14">
        <f>Tabel1[[#This Row],[Antal dyr i Kommunen 2018]]*Tabel1[[#This Row],[Gødning (g) pr. dyr (ton)]]</f>
        <v>0</v>
      </c>
      <c r="O122" s="15"/>
      <c r="P122" s="14"/>
      <c r="Q122" s="7">
        <v>18</v>
      </c>
      <c r="R122" s="7">
        <v>181</v>
      </c>
      <c r="S122" s="13">
        <f t="shared" si="12"/>
        <v>92.056723287671218</v>
      </c>
      <c r="T122" s="9">
        <f>(L122*1000)/365*M122*0.8*Q122</f>
        <v>4.7752767123287665</v>
      </c>
      <c r="U122" s="7">
        <v>12.5</v>
      </c>
      <c r="V122" s="7">
        <v>0.18</v>
      </c>
      <c r="W122" s="9">
        <f t="shared" si="13"/>
        <v>1.4597423999999997</v>
      </c>
      <c r="X122" s="79">
        <f>(W122*I122)/1000</f>
        <v>0</v>
      </c>
      <c r="Z122" s="8"/>
    </row>
    <row r="123" spans="1:26" hidden="1" x14ac:dyDescent="0.25">
      <c r="A123" s="26" t="s">
        <v>41</v>
      </c>
      <c r="B123" s="80"/>
      <c r="C123" s="4" t="s">
        <v>50</v>
      </c>
      <c r="D123" s="4" t="s">
        <v>249</v>
      </c>
      <c r="E123" s="4" t="s">
        <v>90</v>
      </c>
      <c r="F123" s="4" t="s">
        <v>29</v>
      </c>
      <c r="G123" s="4"/>
      <c r="H123" s="4">
        <f>Tabel1[[#This Row],[Stald_kode]]+Tabel1[[#This Row],[Dyr_Kode]]</f>
        <v>0</v>
      </c>
      <c r="I123" s="12"/>
      <c r="J123" s="4"/>
      <c r="K123" s="4" t="s">
        <v>29</v>
      </c>
      <c r="L123" s="15"/>
      <c r="M123" s="15"/>
      <c r="N123" s="14">
        <f>Tabel1[[#This Row],[Antal dyr i Kommunen 2018]]*Tabel1[[#This Row],[Gødning (g) pr. dyr (ton)]]</f>
        <v>0</v>
      </c>
      <c r="O123" s="14">
        <v>1.91</v>
      </c>
      <c r="P123" s="14">
        <v>0.3</v>
      </c>
      <c r="Q123" s="7">
        <v>18</v>
      </c>
      <c r="R123" s="7">
        <v>181</v>
      </c>
      <c r="S123" s="13">
        <f t="shared" si="12"/>
        <v>544.49733164383565</v>
      </c>
      <c r="T123" s="9">
        <f>(O123*1000)/365*P123*0.8*Q123</f>
        <v>22.606027397260277</v>
      </c>
      <c r="U123" s="7">
        <v>17</v>
      </c>
      <c r="V123" s="7">
        <v>0.18</v>
      </c>
      <c r="W123" s="9">
        <f t="shared" si="13"/>
        <v>11.626753067060548</v>
      </c>
      <c r="X123" s="79">
        <f>(Tabel1[[#This Row],[CH4 pr. dyr (Kg)]]*I122)/1000</f>
        <v>0</v>
      </c>
      <c r="Z123" s="8"/>
    </row>
    <row r="124" spans="1:26" hidden="1" x14ac:dyDescent="0.25">
      <c r="A124" s="25" t="s">
        <v>41</v>
      </c>
      <c r="B124" s="78">
        <v>1205</v>
      </c>
      <c r="C124" s="4" t="s">
        <v>50</v>
      </c>
      <c r="D124" s="4" t="s">
        <v>249</v>
      </c>
      <c r="E124" s="4" t="s">
        <v>12</v>
      </c>
      <c r="F124" s="4" t="s">
        <v>156</v>
      </c>
      <c r="G124" s="4">
        <v>120510</v>
      </c>
      <c r="H124" s="4">
        <f>Tabel1[[#This Row],[Stald_kode]]+Tabel1[[#This Row],[Dyr_Kode]]</f>
        <v>121715</v>
      </c>
      <c r="I124" s="12">
        <v>0</v>
      </c>
      <c r="J124" s="4" t="s">
        <v>121</v>
      </c>
      <c r="K124" s="4"/>
      <c r="L124" s="14">
        <v>2.85</v>
      </c>
      <c r="M124" s="14">
        <v>0.123</v>
      </c>
      <c r="N124" s="14">
        <f>Tabel1[[#This Row],[Antal dyr i Kommunen 2018]]*Tabel1[[#This Row],[Gødning (g) pr. dyr (ton)]]</f>
        <v>0</v>
      </c>
      <c r="O124" s="15"/>
      <c r="P124" s="14"/>
      <c r="Q124" s="7">
        <v>18</v>
      </c>
      <c r="R124" s="7">
        <v>181</v>
      </c>
      <c r="S124" s="13">
        <f t="shared" si="12"/>
        <v>266.6100821917808</v>
      </c>
      <c r="T124" s="9">
        <f t="shared" ref="T124:T131" si="16">(L124*1000)/365*M124*0.8*Q124</f>
        <v>13.829917808219179</v>
      </c>
      <c r="U124" s="7">
        <v>12.5</v>
      </c>
      <c r="V124" s="7">
        <v>0.18</v>
      </c>
      <c r="W124" s="9">
        <f t="shared" si="13"/>
        <v>4.2276329999999991</v>
      </c>
      <c r="X124" s="79">
        <f t="shared" ref="X124:X129" si="17">(W124*I124)/1000</f>
        <v>0</v>
      </c>
      <c r="Z124" s="8"/>
    </row>
    <row r="125" spans="1:26" hidden="1" x14ac:dyDescent="0.25">
      <c r="A125" s="25" t="s">
        <v>41</v>
      </c>
      <c r="B125" s="78">
        <v>1205</v>
      </c>
      <c r="C125" s="4" t="s">
        <v>50</v>
      </c>
      <c r="D125" s="4" t="s">
        <v>249</v>
      </c>
      <c r="E125" s="4" t="s">
        <v>77</v>
      </c>
      <c r="F125" s="4" t="s">
        <v>156</v>
      </c>
      <c r="G125" s="4">
        <v>120512</v>
      </c>
      <c r="H125" s="4">
        <f>Tabel1[[#This Row],[Stald_kode]]+Tabel1[[#This Row],[Dyr_Kode]]</f>
        <v>121717</v>
      </c>
      <c r="I125" s="12">
        <v>0</v>
      </c>
      <c r="J125" s="4" t="s">
        <v>121</v>
      </c>
      <c r="K125" s="4"/>
      <c r="L125" s="14">
        <v>2.85</v>
      </c>
      <c r="M125" s="14">
        <v>0.123</v>
      </c>
      <c r="N125" s="14">
        <f>Tabel1[[#This Row],[Antal dyr i Kommunen 2018]]*Tabel1[[#This Row],[Gødning (g) pr. dyr (ton)]]</f>
        <v>0</v>
      </c>
      <c r="O125" s="15"/>
      <c r="P125" s="14"/>
      <c r="Q125" s="7">
        <v>18</v>
      </c>
      <c r="R125" s="7">
        <v>181</v>
      </c>
      <c r="S125" s="13">
        <f t="shared" si="12"/>
        <v>266.6100821917808</v>
      </c>
      <c r="T125" s="9">
        <f t="shared" si="16"/>
        <v>13.829917808219179</v>
      </c>
      <c r="U125" s="7">
        <v>12.5</v>
      </c>
      <c r="V125" s="7">
        <v>0.18</v>
      </c>
      <c r="W125" s="9">
        <f t="shared" si="13"/>
        <v>4.2276329999999991</v>
      </c>
      <c r="X125" s="79">
        <f t="shared" si="17"/>
        <v>0</v>
      </c>
      <c r="Z125" s="8"/>
    </row>
    <row r="126" spans="1:26" hidden="1" x14ac:dyDescent="0.25">
      <c r="A126" s="25" t="s">
        <v>41</v>
      </c>
      <c r="B126" s="78">
        <v>1205</v>
      </c>
      <c r="C126" s="4" t="s">
        <v>50</v>
      </c>
      <c r="D126" s="4" t="s">
        <v>249</v>
      </c>
      <c r="E126" s="4" t="s">
        <v>13</v>
      </c>
      <c r="F126" s="4" t="s">
        <v>156</v>
      </c>
      <c r="G126" s="4">
        <v>120511</v>
      </c>
      <c r="H126" s="4">
        <f>Tabel1[[#This Row],[Stald_kode]]+Tabel1[[#This Row],[Dyr_Kode]]</f>
        <v>121716</v>
      </c>
      <c r="I126" s="12">
        <v>0</v>
      </c>
      <c r="J126" s="4" t="s">
        <v>121</v>
      </c>
      <c r="K126" s="4"/>
      <c r="L126" s="14">
        <v>2.85</v>
      </c>
      <c r="M126" s="14">
        <v>0.123</v>
      </c>
      <c r="N126" s="14">
        <f>Tabel1[[#This Row],[Antal dyr i Kommunen 2018]]*Tabel1[[#This Row],[Gødning (g) pr. dyr (ton)]]</f>
        <v>0</v>
      </c>
      <c r="O126" s="15"/>
      <c r="P126" s="14"/>
      <c r="Q126" s="7">
        <v>18</v>
      </c>
      <c r="R126" s="7">
        <v>181</v>
      </c>
      <c r="S126" s="13">
        <f t="shared" si="12"/>
        <v>266.6100821917808</v>
      </c>
      <c r="T126" s="9">
        <f t="shared" si="16"/>
        <v>13.829917808219179</v>
      </c>
      <c r="U126" s="7">
        <v>12.5</v>
      </c>
      <c r="V126" s="7">
        <v>0.18</v>
      </c>
      <c r="W126" s="9">
        <f t="shared" si="13"/>
        <v>4.2276329999999991</v>
      </c>
      <c r="X126" s="79">
        <f t="shared" si="17"/>
        <v>0</v>
      </c>
      <c r="Z126" s="8"/>
    </row>
    <row r="127" spans="1:26" hidden="1" x14ac:dyDescent="0.25">
      <c r="A127" s="25" t="s">
        <v>41</v>
      </c>
      <c r="B127" s="78">
        <v>1205</v>
      </c>
      <c r="C127" s="4" t="s">
        <v>50</v>
      </c>
      <c r="D127" s="4" t="s">
        <v>249</v>
      </c>
      <c r="E127" s="4" t="s">
        <v>82</v>
      </c>
      <c r="F127" s="4" t="s">
        <v>156</v>
      </c>
      <c r="G127" s="4">
        <v>120519</v>
      </c>
      <c r="H127" s="4">
        <f>Tabel1[[#This Row],[Stald_kode]]+Tabel1[[#This Row],[Dyr_Kode]]</f>
        <v>121724</v>
      </c>
      <c r="I127" s="12">
        <v>0</v>
      </c>
      <c r="J127" s="4" t="s">
        <v>121</v>
      </c>
      <c r="K127" s="4"/>
      <c r="L127" s="14">
        <v>2.85</v>
      </c>
      <c r="M127" s="14">
        <v>0.123</v>
      </c>
      <c r="N127" s="14">
        <f>Tabel1[[#This Row],[Antal dyr i Kommunen 2018]]*Tabel1[[#This Row],[Gødning (g) pr. dyr (ton)]]</f>
        <v>0</v>
      </c>
      <c r="O127" s="15"/>
      <c r="P127" s="14"/>
      <c r="Q127" s="7">
        <v>18</v>
      </c>
      <c r="R127" s="7">
        <v>181</v>
      </c>
      <c r="S127" s="13">
        <f t="shared" si="12"/>
        <v>266.6100821917808</v>
      </c>
      <c r="T127" s="9">
        <f t="shared" si="16"/>
        <v>13.829917808219179</v>
      </c>
      <c r="U127" s="7">
        <v>12.5</v>
      </c>
      <c r="V127" s="7">
        <v>0.18</v>
      </c>
      <c r="W127" s="9">
        <f t="shared" si="13"/>
        <v>4.2276329999999991</v>
      </c>
      <c r="X127" s="79">
        <f t="shared" si="17"/>
        <v>0</v>
      </c>
      <c r="Z127" s="8"/>
    </row>
    <row r="128" spans="1:26" hidden="1" x14ac:dyDescent="0.25">
      <c r="A128" s="25" t="s">
        <v>41</v>
      </c>
      <c r="B128" s="78">
        <v>1205</v>
      </c>
      <c r="C128" s="4" t="s">
        <v>50</v>
      </c>
      <c r="D128" s="4" t="s">
        <v>249</v>
      </c>
      <c r="E128" s="4" t="s">
        <v>17</v>
      </c>
      <c r="F128" s="4" t="s">
        <v>158</v>
      </c>
      <c r="G128" s="4">
        <v>120509</v>
      </c>
      <c r="H128" s="4">
        <f>Tabel1[[#This Row],[Stald_kode]]+Tabel1[[#This Row],[Dyr_Kode]]</f>
        <v>121714</v>
      </c>
      <c r="I128" s="12">
        <v>0</v>
      </c>
      <c r="J128" s="4" t="s">
        <v>121</v>
      </c>
      <c r="K128" s="4"/>
      <c r="L128" s="14">
        <v>3</v>
      </c>
      <c r="M128" s="14">
        <v>0.10100000000000001</v>
      </c>
      <c r="N128" s="14">
        <f>Tabel1[[#This Row],[Antal dyr i Kommunen 2018]]*Tabel1[[#This Row],[Gødning (g) pr. dyr (ton)]]</f>
        <v>0</v>
      </c>
      <c r="O128" s="15"/>
      <c r="P128" s="14"/>
      <c r="Q128" s="14">
        <v>18</v>
      </c>
      <c r="R128" s="7">
        <v>181</v>
      </c>
      <c r="S128" s="13">
        <f t="shared" si="12"/>
        <v>230.44602739726034</v>
      </c>
      <c r="T128" s="9">
        <f t="shared" si="16"/>
        <v>11.953972602739729</v>
      </c>
      <c r="U128" s="7">
        <v>12.5</v>
      </c>
      <c r="V128" s="7">
        <v>0.18</v>
      </c>
      <c r="W128" s="9">
        <f t="shared" si="13"/>
        <v>3.6541800000000015</v>
      </c>
      <c r="X128" s="79">
        <f t="shared" si="17"/>
        <v>0</v>
      </c>
      <c r="Z128" s="8"/>
    </row>
    <row r="129" spans="1:26" hidden="1" x14ac:dyDescent="0.25">
      <c r="A129" s="25" t="s">
        <v>41</v>
      </c>
      <c r="B129" s="78">
        <v>1242</v>
      </c>
      <c r="C129" s="4" t="s">
        <v>54</v>
      </c>
      <c r="D129" s="4" t="s">
        <v>164</v>
      </c>
      <c r="E129" s="4" t="s">
        <v>10</v>
      </c>
      <c r="F129" s="4" t="s">
        <v>157</v>
      </c>
      <c r="G129" s="4">
        <v>124201</v>
      </c>
      <c r="H129" s="4">
        <f>Tabel1[[#This Row],[Stald_kode]]+Tabel1[[#This Row],[Dyr_Kode]]</f>
        <v>125443</v>
      </c>
      <c r="I129" s="12">
        <v>7.97</v>
      </c>
      <c r="J129" s="4" t="s">
        <v>124</v>
      </c>
      <c r="K129" s="4"/>
      <c r="L129" s="14">
        <v>3.72</v>
      </c>
      <c r="M129" s="14">
        <v>0.22800000000000001</v>
      </c>
      <c r="N129" s="14">
        <f>Tabel1[[#This Row],[Antal dyr i Kommunen 2018]]*Tabel1[[#This Row],[Gødning (g) pr. dyr (ton)]]</f>
        <v>29.648400000000002</v>
      </c>
      <c r="O129" s="15"/>
      <c r="P129" s="14"/>
      <c r="Q129" s="13">
        <v>132</v>
      </c>
      <c r="R129" s="7">
        <v>181</v>
      </c>
      <c r="S129" s="13">
        <f t="shared" si="12"/>
        <v>433.14253150684931</v>
      </c>
      <c r="T129" s="9">
        <f t="shared" si="16"/>
        <v>245.38546849315071</v>
      </c>
      <c r="U129" s="7">
        <v>2</v>
      </c>
      <c r="V129" s="7">
        <v>0.18</v>
      </c>
      <c r="W129" s="9">
        <f t="shared" si="13"/>
        <v>1.6366095360000004</v>
      </c>
      <c r="X129" s="79">
        <f t="shared" si="17"/>
        <v>1.3043778001920003E-2</v>
      </c>
      <c r="Z129" s="8"/>
    </row>
    <row r="130" spans="1:26" hidden="1" x14ac:dyDescent="0.25">
      <c r="A130" s="26" t="s">
        <v>41</v>
      </c>
      <c r="B130" s="80"/>
      <c r="C130" s="4" t="s">
        <v>54</v>
      </c>
      <c r="D130" s="4" t="s">
        <v>164</v>
      </c>
      <c r="E130" s="4" t="s">
        <v>10</v>
      </c>
      <c r="F130" s="4" t="s">
        <v>157</v>
      </c>
      <c r="G130" s="4"/>
      <c r="H130" s="4">
        <f>Tabel1[[#This Row],[Stald_kode]]+Tabel1[[#This Row],[Dyr_Kode]]</f>
        <v>0</v>
      </c>
      <c r="I130" s="12"/>
      <c r="J130" s="4" t="s">
        <v>127</v>
      </c>
      <c r="K130" s="15"/>
      <c r="L130" s="14">
        <v>4.17</v>
      </c>
      <c r="M130" s="14">
        <v>3.7999999999999999E-2</v>
      </c>
      <c r="N130" s="14">
        <f>Tabel1[[#This Row],[Antal dyr i Kommunen 2018]]*Tabel1[[#This Row],[Gødning (g) pr. dyr (ton)]]</f>
        <v>0</v>
      </c>
      <c r="O130" s="14"/>
      <c r="P130" s="14"/>
      <c r="Q130" s="14">
        <v>132</v>
      </c>
      <c r="R130" s="7">
        <v>181</v>
      </c>
      <c r="S130" s="13">
        <f t="shared" si="12"/>
        <v>80.923134246575344</v>
      </c>
      <c r="T130" s="9">
        <f t="shared" si="16"/>
        <v>45.844865753424664</v>
      </c>
      <c r="U130" s="7">
        <v>12.5</v>
      </c>
      <c r="V130" s="7">
        <v>0.18</v>
      </c>
      <c r="W130" s="9">
        <f t="shared" si="13"/>
        <v>1.9110276000000002</v>
      </c>
      <c r="X130" s="79">
        <f>(Tabel1[[#This Row],[CH4 pr. dyr (Kg)]]*I129)/1000</f>
        <v>1.5230889972000001E-2</v>
      </c>
      <c r="Z130" s="8"/>
    </row>
    <row r="131" spans="1:26" hidden="1" x14ac:dyDescent="0.25">
      <c r="A131" s="25" t="s">
        <v>41</v>
      </c>
      <c r="B131" s="78">
        <v>1242</v>
      </c>
      <c r="C131" s="4" t="s">
        <v>54</v>
      </c>
      <c r="D131" s="4" t="s">
        <v>164</v>
      </c>
      <c r="E131" s="4" t="s">
        <v>11</v>
      </c>
      <c r="F131" s="4" t="s">
        <v>157</v>
      </c>
      <c r="G131" s="4">
        <v>124202</v>
      </c>
      <c r="H131" s="4">
        <f>Tabel1[[#This Row],[Stald_kode]]+Tabel1[[#This Row],[Dyr_Kode]]</f>
        <v>125444</v>
      </c>
      <c r="I131" s="12">
        <v>0</v>
      </c>
      <c r="J131" s="4" t="s">
        <v>121</v>
      </c>
      <c r="K131" s="4"/>
      <c r="L131" s="14">
        <v>7.88</v>
      </c>
      <c r="M131" s="14">
        <v>0.121</v>
      </c>
      <c r="N131" s="14">
        <f>Tabel1[[#This Row],[Antal dyr i Kommunen 2018]]*Tabel1[[#This Row],[Gødning (g) pr. dyr (ton)]]</f>
        <v>0</v>
      </c>
      <c r="O131" s="15"/>
      <c r="P131" s="14"/>
      <c r="Q131" s="13">
        <v>132</v>
      </c>
      <c r="R131" s="14">
        <v>181</v>
      </c>
      <c r="S131" s="13">
        <f t="shared" si="12"/>
        <v>486.92786849315075</v>
      </c>
      <c r="T131" s="9">
        <f t="shared" si="16"/>
        <v>275.85613150684935</v>
      </c>
      <c r="U131" s="7">
        <v>12.5</v>
      </c>
      <c r="V131" s="7">
        <v>0.18</v>
      </c>
      <c r="W131" s="9">
        <f t="shared" si="13"/>
        <v>11.498968800000002</v>
      </c>
      <c r="X131" s="79">
        <f>(W131*I131)/1000</f>
        <v>0</v>
      </c>
      <c r="Z131" s="8"/>
    </row>
    <row r="132" spans="1:26" hidden="1" x14ac:dyDescent="0.25">
      <c r="A132" s="25" t="s">
        <v>41</v>
      </c>
      <c r="B132" s="78">
        <v>1242</v>
      </c>
      <c r="C132" s="4" t="s">
        <v>54</v>
      </c>
      <c r="D132" s="4" t="s">
        <v>164</v>
      </c>
      <c r="E132" s="4" t="s">
        <v>19</v>
      </c>
      <c r="F132" s="4" t="s">
        <v>29</v>
      </c>
      <c r="G132" s="4">
        <v>124203</v>
      </c>
      <c r="H132" s="4">
        <f>Tabel1[[#This Row],[Stald_kode]]+Tabel1[[#This Row],[Dyr_Kode]]</f>
        <v>125445</v>
      </c>
      <c r="I132" s="12">
        <v>235.84</v>
      </c>
      <c r="J132" s="15"/>
      <c r="K132" s="4" t="s">
        <v>29</v>
      </c>
      <c r="L132" s="14"/>
      <c r="M132" s="14"/>
      <c r="N132" s="14">
        <f>Tabel1[[#This Row],[Antal dyr i Kommunen 2018]]*Tabel1[[#This Row],[Gødning (g) pr. dyr (ton)]]</f>
        <v>0</v>
      </c>
      <c r="O132" s="14">
        <v>9.59</v>
      </c>
      <c r="P132" s="14">
        <v>0.3</v>
      </c>
      <c r="Q132" s="14">
        <v>132</v>
      </c>
      <c r="R132" s="7">
        <v>181</v>
      </c>
      <c r="S132" s="13">
        <f t="shared" si="12"/>
        <v>1835.7242371232874</v>
      </c>
      <c r="T132" s="9">
        <f>(O132*1000)/365*P132*0.8*Q132</f>
        <v>832.35945205479447</v>
      </c>
      <c r="U132" s="7">
        <v>17</v>
      </c>
      <c r="V132" s="7">
        <v>0.18</v>
      </c>
      <c r="W132" s="9">
        <f t="shared" si="13"/>
        <v>54.701051795529025</v>
      </c>
      <c r="X132" s="79">
        <f>(W132*I132)/1000</f>
        <v>12.900696055457566</v>
      </c>
      <c r="Z132" s="8"/>
    </row>
    <row r="133" spans="1:26" hidden="1" x14ac:dyDescent="0.25">
      <c r="A133" s="25" t="s">
        <v>41</v>
      </c>
      <c r="B133" s="78">
        <v>1242</v>
      </c>
      <c r="C133" s="4" t="s">
        <v>54</v>
      </c>
      <c r="D133" s="4" t="s">
        <v>164</v>
      </c>
      <c r="E133" s="4" t="s">
        <v>101</v>
      </c>
      <c r="F133" s="4" t="s">
        <v>29</v>
      </c>
      <c r="G133" s="4">
        <v>124204</v>
      </c>
      <c r="H133" s="4">
        <f>Tabel1[[#This Row],[Stald_kode]]+Tabel1[[#This Row],[Dyr_Kode]]</f>
        <v>125446</v>
      </c>
      <c r="I133" s="12">
        <v>0</v>
      </c>
      <c r="J133" s="15"/>
      <c r="K133" s="4" t="s">
        <v>29</v>
      </c>
      <c r="L133" s="14"/>
      <c r="M133" s="14"/>
      <c r="N133" s="14">
        <f>Tabel1[[#This Row],[Antal dyr i Kommunen 2018]]*Tabel1[[#This Row],[Gødning (g) pr. dyr (ton)]]</f>
        <v>0</v>
      </c>
      <c r="O133" s="14">
        <v>8.83</v>
      </c>
      <c r="P133" s="14">
        <v>0.3</v>
      </c>
      <c r="Q133" s="13">
        <v>132</v>
      </c>
      <c r="R133" s="7">
        <v>181</v>
      </c>
      <c r="S133" s="13">
        <f t="shared" si="12"/>
        <v>1690.2445269863017</v>
      </c>
      <c r="T133" s="9">
        <f>(O133*1000)/365*P133*0.8*Q133</f>
        <v>766.39561643835623</v>
      </c>
      <c r="U133" s="7">
        <v>17</v>
      </c>
      <c r="V133" s="7">
        <v>0.18</v>
      </c>
      <c r="W133" s="9">
        <f t="shared" si="13"/>
        <v>50.366036220492333</v>
      </c>
      <c r="X133" s="79">
        <f>(W133*I133)/1000</f>
        <v>0</v>
      </c>
      <c r="Z133" s="8"/>
    </row>
    <row r="134" spans="1:26" hidden="1" x14ac:dyDescent="0.25">
      <c r="A134" s="25" t="s">
        <v>41</v>
      </c>
      <c r="B134" s="78">
        <v>1242</v>
      </c>
      <c r="C134" s="4" t="s">
        <v>54</v>
      </c>
      <c r="D134" s="4" t="s">
        <v>164</v>
      </c>
      <c r="E134" s="4" t="s">
        <v>15</v>
      </c>
      <c r="F134" s="4" t="s">
        <v>29</v>
      </c>
      <c r="G134" s="4">
        <v>124205</v>
      </c>
      <c r="H134" s="4">
        <f>Tabel1[[#This Row],[Stald_kode]]+Tabel1[[#This Row],[Dyr_Kode]]</f>
        <v>125447</v>
      </c>
      <c r="I134" s="12">
        <v>0</v>
      </c>
      <c r="J134" s="4" t="s">
        <v>121</v>
      </c>
      <c r="K134" s="4"/>
      <c r="L134" s="14">
        <v>4.8499999999999996</v>
      </c>
      <c r="M134" s="14">
        <v>6.9000000000000006E-2</v>
      </c>
      <c r="N134" s="14">
        <f>Tabel1[[#This Row],[Antal dyr i Kommunen 2018]]*Tabel1[[#This Row],[Gødning (g) pr. dyr (ton)]]</f>
        <v>0</v>
      </c>
      <c r="O134" s="15"/>
      <c r="P134" s="14"/>
      <c r="Q134" s="14">
        <v>132</v>
      </c>
      <c r="R134" s="7">
        <v>181</v>
      </c>
      <c r="S134" s="13">
        <f t="shared" si="12"/>
        <v>170.90071232876716</v>
      </c>
      <c r="T134" s="9">
        <f>(L134*1000)/365*M134*0.8*Q134</f>
        <v>96.8192876712329</v>
      </c>
      <c r="U134" s="7">
        <v>12.5</v>
      </c>
      <c r="V134" s="7">
        <v>0.18</v>
      </c>
      <c r="W134" s="9">
        <f t="shared" si="13"/>
        <v>4.0358790000000004</v>
      </c>
      <c r="X134" s="79">
        <f>(W134*I134)/1000</f>
        <v>0</v>
      </c>
      <c r="Z134" s="8"/>
    </row>
    <row r="135" spans="1:26" hidden="1" x14ac:dyDescent="0.25">
      <c r="A135" s="26" t="s">
        <v>41</v>
      </c>
      <c r="B135" s="80"/>
      <c r="C135" s="4" t="s">
        <v>54</v>
      </c>
      <c r="D135" s="4" t="s">
        <v>164</v>
      </c>
      <c r="E135" s="4" t="s">
        <v>15</v>
      </c>
      <c r="F135" s="4" t="s">
        <v>29</v>
      </c>
      <c r="G135" s="4"/>
      <c r="H135" s="4">
        <f>Tabel1[[#This Row],[Stald_kode]]+Tabel1[[#This Row],[Dyr_Kode]]</f>
        <v>0</v>
      </c>
      <c r="I135" s="12"/>
      <c r="J135" s="4"/>
      <c r="K135" s="4" t="s">
        <v>29</v>
      </c>
      <c r="L135" s="15"/>
      <c r="M135" s="15"/>
      <c r="N135" s="14">
        <f>Tabel1[[#This Row],[Antal dyr i Kommunen 2018]]*Tabel1[[#This Row],[Gødning (g) pr. dyr (ton)]]</f>
        <v>0</v>
      </c>
      <c r="O135" s="13">
        <v>6.67</v>
      </c>
      <c r="P135" s="13">
        <v>0.3</v>
      </c>
      <c r="Q135" s="13">
        <v>132</v>
      </c>
      <c r="R135" s="7">
        <v>181</v>
      </c>
      <c r="S135" s="13">
        <f t="shared" si="12"/>
        <v>1276.7758771232877</v>
      </c>
      <c r="T135" s="9">
        <f>(O135*1000)/365*P135*0.8*Q135</f>
        <v>578.91945205479453</v>
      </c>
      <c r="U135" s="7">
        <v>17</v>
      </c>
      <c r="V135" s="7">
        <v>0.18</v>
      </c>
      <c r="W135" s="9">
        <f t="shared" si="13"/>
        <v>38.045465638809048</v>
      </c>
      <c r="X135" s="79">
        <f>(Tabel1[[#This Row],[CH4 pr. dyr (Kg)]]*I134)/1000</f>
        <v>0</v>
      </c>
      <c r="Z135" s="8"/>
    </row>
    <row r="136" spans="1:26" hidden="1" x14ac:dyDescent="0.25">
      <c r="A136" s="25" t="s">
        <v>41</v>
      </c>
      <c r="B136" s="78">
        <v>1242</v>
      </c>
      <c r="C136" s="4" t="s">
        <v>54</v>
      </c>
      <c r="D136" s="4" t="s">
        <v>164</v>
      </c>
      <c r="E136" s="4" t="s">
        <v>86</v>
      </c>
      <c r="F136" s="4" t="s">
        <v>29</v>
      </c>
      <c r="G136" s="4">
        <v>124207</v>
      </c>
      <c r="H136" s="4">
        <f>Tabel1[[#This Row],[Stald_kode]]+Tabel1[[#This Row],[Dyr_Kode]]</f>
        <v>125449</v>
      </c>
      <c r="I136" s="12">
        <v>0</v>
      </c>
      <c r="J136" s="4" t="s">
        <v>121</v>
      </c>
      <c r="K136" s="4"/>
      <c r="L136" s="14">
        <v>4.8499999999999996</v>
      </c>
      <c r="M136" s="14">
        <v>6.9000000000000006E-2</v>
      </c>
      <c r="N136" s="14">
        <f>Tabel1[[#This Row],[Antal dyr i Kommunen 2018]]*Tabel1[[#This Row],[Gødning (g) pr. dyr (ton)]]</f>
        <v>0</v>
      </c>
      <c r="O136" s="15"/>
      <c r="P136" s="14"/>
      <c r="Q136" s="14">
        <v>132</v>
      </c>
      <c r="R136" s="7">
        <v>181</v>
      </c>
      <c r="S136" s="13">
        <f t="shared" si="12"/>
        <v>170.90071232876716</v>
      </c>
      <c r="T136" s="9">
        <f>(L136*1000)/365*M136*0.8*Q136</f>
        <v>96.8192876712329</v>
      </c>
      <c r="U136" s="7">
        <v>12.5</v>
      </c>
      <c r="V136" s="7">
        <v>0.18</v>
      </c>
      <c r="W136" s="9">
        <f t="shared" si="13"/>
        <v>4.0358790000000004</v>
      </c>
      <c r="X136" s="79">
        <f>(W136*I136)/1000</f>
        <v>0</v>
      </c>
      <c r="Z136" s="8"/>
    </row>
    <row r="137" spans="1:26" hidden="1" x14ac:dyDescent="0.25">
      <c r="A137" s="26" t="s">
        <v>41</v>
      </c>
      <c r="B137" s="80"/>
      <c r="C137" s="4" t="s">
        <v>54</v>
      </c>
      <c r="D137" s="4" t="s">
        <v>164</v>
      </c>
      <c r="E137" s="4" t="s">
        <v>86</v>
      </c>
      <c r="F137" s="4" t="s">
        <v>29</v>
      </c>
      <c r="G137" s="4"/>
      <c r="H137" s="4">
        <f>Tabel1[[#This Row],[Stald_kode]]+Tabel1[[#This Row],[Dyr_Kode]]</f>
        <v>0</v>
      </c>
      <c r="I137" s="12"/>
      <c r="J137" s="4"/>
      <c r="K137" s="4" t="s">
        <v>29</v>
      </c>
      <c r="L137" s="15"/>
      <c r="M137" s="15"/>
      <c r="N137" s="14">
        <f>Tabel1[[#This Row],[Antal dyr i Kommunen 2018]]*Tabel1[[#This Row],[Gødning (g) pr. dyr (ton)]]</f>
        <v>0</v>
      </c>
      <c r="O137" s="13">
        <v>6.67</v>
      </c>
      <c r="P137" s="13">
        <v>0.3</v>
      </c>
      <c r="Q137" s="13">
        <v>132</v>
      </c>
      <c r="R137" s="7">
        <v>181</v>
      </c>
      <c r="S137" s="13">
        <f t="shared" si="12"/>
        <v>1276.7758771232877</v>
      </c>
      <c r="T137" s="9">
        <f>(O137*1000)/365*P137*0.8*Q137</f>
        <v>578.91945205479453</v>
      </c>
      <c r="U137" s="7">
        <v>17</v>
      </c>
      <c r="V137" s="7">
        <v>0.18</v>
      </c>
      <c r="W137" s="9">
        <f t="shared" si="13"/>
        <v>38.045465638809048</v>
      </c>
      <c r="X137" s="79">
        <f>(Tabel1[[#This Row],[CH4 pr. dyr (Kg)]]*I136)/1000</f>
        <v>0</v>
      </c>
      <c r="Z137" s="8"/>
    </row>
    <row r="138" spans="1:26" hidden="1" x14ac:dyDescent="0.25">
      <c r="A138" s="25" t="s">
        <v>41</v>
      </c>
      <c r="B138" s="78">
        <v>1242</v>
      </c>
      <c r="C138" s="4" t="s">
        <v>54</v>
      </c>
      <c r="D138" s="4" t="s">
        <v>164</v>
      </c>
      <c r="E138" s="4" t="s">
        <v>90</v>
      </c>
      <c r="F138" s="4" t="s">
        <v>29</v>
      </c>
      <c r="G138" s="4">
        <v>124206</v>
      </c>
      <c r="H138" s="4">
        <f>Tabel1[[#This Row],[Stald_kode]]+Tabel1[[#This Row],[Dyr_Kode]]</f>
        <v>125448</v>
      </c>
      <c r="I138" s="12">
        <v>0</v>
      </c>
      <c r="J138" s="4" t="s">
        <v>121</v>
      </c>
      <c r="K138" s="4"/>
      <c r="L138" s="14">
        <v>4.8499999999999996</v>
      </c>
      <c r="M138" s="14">
        <v>6.9000000000000006E-2</v>
      </c>
      <c r="N138" s="14">
        <f>Tabel1[[#This Row],[Antal dyr i Kommunen 2018]]*Tabel1[[#This Row],[Gødning (g) pr. dyr (ton)]]</f>
        <v>0</v>
      </c>
      <c r="O138" s="15"/>
      <c r="P138" s="14"/>
      <c r="Q138" s="14">
        <v>132</v>
      </c>
      <c r="R138" s="7">
        <v>181</v>
      </c>
      <c r="S138" s="13">
        <f t="shared" si="12"/>
        <v>170.90071232876716</v>
      </c>
      <c r="T138" s="9">
        <f>(L138*1000)/365*M138*0.8*Q138</f>
        <v>96.8192876712329</v>
      </c>
      <c r="U138" s="7">
        <v>12.5</v>
      </c>
      <c r="V138" s="7">
        <v>0.18</v>
      </c>
      <c r="W138" s="9">
        <f t="shared" si="13"/>
        <v>4.0358790000000004</v>
      </c>
      <c r="X138" s="79">
        <f>(W138*I138)/1000</f>
        <v>0</v>
      </c>
      <c r="Z138" s="8"/>
    </row>
    <row r="139" spans="1:26" hidden="1" x14ac:dyDescent="0.25">
      <c r="A139" s="26" t="s">
        <v>41</v>
      </c>
      <c r="B139" s="80"/>
      <c r="C139" s="4" t="s">
        <v>54</v>
      </c>
      <c r="D139" s="4" t="s">
        <v>164</v>
      </c>
      <c r="E139" s="4" t="s">
        <v>90</v>
      </c>
      <c r="F139" s="4" t="s">
        <v>29</v>
      </c>
      <c r="G139" s="4"/>
      <c r="H139" s="4">
        <f>Tabel1[[#This Row],[Stald_kode]]+Tabel1[[#This Row],[Dyr_Kode]]</f>
        <v>0</v>
      </c>
      <c r="I139" s="12"/>
      <c r="J139" s="4"/>
      <c r="K139" s="4" t="s">
        <v>29</v>
      </c>
      <c r="L139" s="15"/>
      <c r="M139" s="15"/>
      <c r="N139" s="14">
        <f>Tabel1[[#This Row],[Antal dyr i Kommunen 2018]]*Tabel1[[#This Row],[Gødning (g) pr. dyr (ton)]]</f>
        <v>0</v>
      </c>
      <c r="O139" s="13">
        <v>6.67</v>
      </c>
      <c r="P139" s="13">
        <v>0.3</v>
      </c>
      <c r="Q139" s="13">
        <v>132</v>
      </c>
      <c r="R139" s="7">
        <v>181</v>
      </c>
      <c r="S139" s="13">
        <f t="shared" si="12"/>
        <v>1276.7758771232877</v>
      </c>
      <c r="T139" s="9">
        <f>(O139*1000)/365*P139*0.8*Q139</f>
        <v>578.91945205479453</v>
      </c>
      <c r="U139" s="7">
        <v>17</v>
      </c>
      <c r="V139" s="7">
        <v>0.18</v>
      </c>
      <c r="W139" s="9">
        <f t="shared" si="13"/>
        <v>38.045465638809048</v>
      </c>
      <c r="X139" s="79">
        <f>(Tabel1[[#This Row],[CH4 pr. dyr (Kg)]]*I138)/1000</f>
        <v>0</v>
      </c>
      <c r="Z139" s="8"/>
    </row>
    <row r="140" spans="1:26" hidden="1" x14ac:dyDescent="0.25">
      <c r="A140" s="25" t="s">
        <v>41</v>
      </c>
      <c r="B140" s="78">
        <v>1242</v>
      </c>
      <c r="C140" s="4" t="s">
        <v>54</v>
      </c>
      <c r="D140" s="4" t="s">
        <v>164</v>
      </c>
      <c r="E140" s="4" t="s">
        <v>109</v>
      </c>
      <c r="F140" s="4" t="s">
        <v>156</v>
      </c>
      <c r="G140" s="4">
        <v>124210</v>
      </c>
      <c r="H140" s="4">
        <f>Tabel1[[#This Row],[Stald_kode]]+Tabel1[[#This Row],[Dyr_Kode]]</f>
        <v>125452</v>
      </c>
      <c r="I140" s="12">
        <v>0</v>
      </c>
      <c r="J140" s="4" t="s">
        <v>121</v>
      </c>
      <c r="K140" s="4"/>
      <c r="L140" s="14">
        <v>7.28</v>
      </c>
      <c r="M140" s="14">
        <v>0.121</v>
      </c>
      <c r="N140" s="14">
        <f>Tabel1[[#This Row],[Antal dyr i Kommunen 2018]]*Tabel1[[#This Row],[Gødning (g) pr. dyr (ton)]]</f>
        <v>0</v>
      </c>
      <c r="O140" s="15"/>
      <c r="P140" s="14"/>
      <c r="Q140" s="14">
        <v>132</v>
      </c>
      <c r="R140" s="7"/>
      <c r="S140" s="13">
        <f t="shared" si="12"/>
        <v>449.85214246575345</v>
      </c>
      <c r="T140" s="9">
        <f t="shared" ref="T140:T145" si="18">(L140*1000)/365*M140*0.8*Q140</f>
        <v>254.85185753424659</v>
      </c>
      <c r="U140" s="7">
        <v>12.5</v>
      </c>
      <c r="V140" s="7">
        <v>0.18</v>
      </c>
      <c r="W140" s="9">
        <f t="shared" si="13"/>
        <v>10.623412800000001</v>
      </c>
      <c r="X140" s="79">
        <f>(W140*I140)/1000</f>
        <v>0</v>
      </c>
      <c r="Z140" s="8"/>
    </row>
    <row r="141" spans="1:26" hidden="1" x14ac:dyDescent="0.25">
      <c r="A141" s="25" t="s">
        <v>41</v>
      </c>
      <c r="B141" s="78">
        <v>1242</v>
      </c>
      <c r="C141" s="4" t="s">
        <v>54</v>
      </c>
      <c r="D141" s="4" t="s">
        <v>164</v>
      </c>
      <c r="E141" s="4" t="s">
        <v>18</v>
      </c>
      <c r="F141" s="4" t="s">
        <v>156</v>
      </c>
      <c r="G141" s="4">
        <v>124209</v>
      </c>
      <c r="H141" s="4">
        <f>Tabel1[[#This Row],[Stald_kode]]+Tabel1[[#This Row],[Dyr_Kode]]</f>
        <v>125451</v>
      </c>
      <c r="I141" s="12">
        <v>0</v>
      </c>
      <c r="J141" s="4" t="s">
        <v>121</v>
      </c>
      <c r="K141" s="4"/>
      <c r="L141" s="14">
        <v>7.28</v>
      </c>
      <c r="M141" s="14">
        <v>0.121</v>
      </c>
      <c r="N141" s="14">
        <f>Tabel1[[#This Row],[Antal dyr i Kommunen 2018]]*Tabel1[[#This Row],[Gødning (g) pr. dyr (ton)]]</f>
        <v>0</v>
      </c>
      <c r="O141" s="15"/>
      <c r="P141" s="14"/>
      <c r="Q141" s="13">
        <v>132</v>
      </c>
      <c r="R141" s="7">
        <v>181</v>
      </c>
      <c r="S141" s="13">
        <f t="shared" si="12"/>
        <v>449.85214246575345</v>
      </c>
      <c r="T141" s="9">
        <f t="shared" si="18"/>
        <v>254.85185753424659</v>
      </c>
      <c r="U141" s="7">
        <v>12.5</v>
      </c>
      <c r="V141" s="7">
        <v>0.18</v>
      </c>
      <c r="W141" s="9">
        <f t="shared" si="13"/>
        <v>10.623412800000001</v>
      </c>
      <c r="X141" s="79">
        <f>(W141*I141)/1000</f>
        <v>0</v>
      </c>
      <c r="Z141" s="8"/>
    </row>
    <row r="142" spans="1:26" hidden="1" x14ac:dyDescent="0.25">
      <c r="A142" s="25" t="s">
        <v>41</v>
      </c>
      <c r="B142" s="78">
        <v>1242</v>
      </c>
      <c r="C142" s="4" t="s">
        <v>54</v>
      </c>
      <c r="D142" s="4" t="s">
        <v>164</v>
      </c>
      <c r="E142" s="4" t="s">
        <v>82</v>
      </c>
      <c r="F142" s="4" t="s">
        <v>156</v>
      </c>
      <c r="G142" s="4">
        <v>124211</v>
      </c>
      <c r="H142" s="4">
        <f>Tabel1[[#This Row],[Stald_kode]]+Tabel1[[#This Row],[Dyr_Kode]]</f>
        <v>125453</v>
      </c>
      <c r="I142" s="12">
        <v>100</v>
      </c>
      <c r="J142" s="4" t="s">
        <v>121</v>
      </c>
      <c r="K142" s="4"/>
      <c r="L142" s="14">
        <v>7.28</v>
      </c>
      <c r="M142" s="14">
        <v>0.121</v>
      </c>
      <c r="N142" s="14">
        <f>Tabel1[[#This Row],[Antal dyr i Kommunen 2018]]*Tabel1[[#This Row],[Gødning (g) pr. dyr (ton)]]</f>
        <v>728</v>
      </c>
      <c r="O142" s="15"/>
      <c r="P142" s="14"/>
      <c r="Q142" s="14">
        <v>132</v>
      </c>
      <c r="R142" s="7">
        <v>181</v>
      </c>
      <c r="S142" s="13">
        <f t="shared" si="12"/>
        <v>449.85214246575345</v>
      </c>
      <c r="T142" s="9">
        <f t="shared" si="18"/>
        <v>254.85185753424659</v>
      </c>
      <c r="U142" s="7">
        <v>12.5</v>
      </c>
      <c r="V142" s="7">
        <v>0.18</v>
      </c>
      <c r="W142" s="9">
        <f t="shared" si="13"/>
        <v>10.623412800000001</v>
      </c>
      <c r="X142" s="79">
        <f>(W142*I142)/1000</f>
        <v>1.0623412800000001</v>
      </c>
      <c r="Z142" s="8"/>
    </row>
    <row r="143" spans="1:26" hidden="1" x14ac:dyDescent="0.25">
      <c r="A143" s="25" t="s">
        <v>41</v>
      </c>
      <c r="B143" s="78">
        <v>1243</v>
      </c>
      <c r="C143" s="4" t="s">
        <v>53</v>
      </c>
      <c r="D143" s="4" t="s">
        <v>164</v>
      </c>
      <c r="E143" s="4" t="s">
        <v>10</v>
      </c>
      <c r="F143" s="4" t="s">
        <v>157</v>
      </c>
      <c r="G143" s="4">
        <v>124301</v>
      </c>
      <c r="H143" s="4">
        <f>Tabel1[[#This Row],[Stald_kode]]+Tabel1[[#This Row],[Dyr_Kode]]</f>
        <v>125544</v>
      </c>
      <c r="I143" s="12">
        <v>42.09</v>
      </c>
      <c r="J143" s="4" t="s">
        <v>124</v>
      </c>
      <c r="K143" s="4"/>
      <c r="L143" s="14">
        <v>4.1500000000000004</v>
      </c>
      <c r="M143" s="14">
        <v>0.22800000000000001</v>
      </c>
      <c r="N143" s="14">
        <f>Tabel1[[#This Row],[Antal dyr i Kommunen 2018]]*Tabel1[[#This Row],[Gødning (g) pr. dyr (ton)]]</f>
        <v>174.67350000000002</v>
      </c>
      <c r="O143" s="15"/>
      <c r="P143" s="14"/>
      <c r="Q143" s="13">
        <v>132</v>
      </c>
      <c r="R143" s="7">
        <v>181</v>
      </c>
      <c r="S143" s="13">
        <f t="shared" si="12"/>
        <v>483.21008219178088</v>
      </c>
      <c r="T143" s="9">
        <f t="shared" si="18"/>
        <v>273.74991780821921</v>
      </c>
      <c r="U143" s="7">
        <v>2</v>
      </c>
      <c r="V143" s="7">
        <v>0.18</v>
      </c>
      <c r="W143" s="9">
        <f t="shared" si="13"/>
        <v>1.8257875200000004</v>
      </c>
      <c r="X143" s="79">
        <f>(W143*I143)/1000</f>
        <v>7.684739671680002E-2</v>
      </c>
      <c r="Z143" s="8"/>
    </row>
    <row r="144" spans="1:26" hidden="1" x14ac:dyDescent="0.25">
      <c r="A144" s="26" t="s">
        <v>41</v>
      </c>
      <c r="B144" s="80"/>
      <c r="C144" s="4" t="s">
        <v>53</v>
      </c>
      <c r="D144" s="4" t="s">
        <v>164</v>
      </c>
      <c r="E144" s="4" t="s">
        <v>10</v>
      </c>
      <c r="F144" s="4" t="s">
        <v>157</v>
      </c>
      <c r="G144" s="4"/>
      <c r="H144" s="4">
        <f>Tabel1[[#This Row],[Stald_kode]]+Tabel1[[#This Row],[Dyr_Kode]]</f>
        <v>0</v>
      </c>
      <c r="I144" s="12"/>
      <c r="J144" s="4" t="s">
        <v>127</v>
      </c>
      <c r="K144" s="15"/>
      <c r="L144" s="14">
        <v>4.8</v>
      </c>
      <c r="M144" s="14">
        <v>3.7999999999999999E-2</v>
      </c>
      <c r="N144" s="14">
        <f>Tabel1[[#This Row],[Antal dyr i Kommunen 2018]]*Tabel1[[#This Row],[Gødning (g) pr. dyr (ton)]]</f>
        <v>0</v>
      </c>
      <c r="O144" s="14"/>
      <c r="P144" s="14"/>
      <c r="Q144" s="14">
        <v>132</v>
      </c>
      <c r="R144" s="7">
        <v>181</v>
      </c>
      <c r="S144" s="13">
        <f t="shared" si="12"/>
        <v>93.148931506849308</v>
      </c>
      <c r="T144" s="9">
        <f t="shared" si="18"/>
        <v>52.771068493150686</v>
      </c>
      <c r="U144" s="7">
        <v>12.5</v>
      </c>
      <c r="V144" s="7">
        <v>0.18</v>
      </c>
      <c r="W144" s="9">
        <f t="shared" si="13"/>
        <v>2.1997439999999999</v>
      </c>
      <c r="X144" s="79">
        <f>(Tabel1[[#This Row],[CH4 pr. dyr (Kg)]]*I143)/1000</f>
        <v>9.2587224960000006E-2</v>
      </c>
      <c r="Z144" s="8"/>
    </row>
    <row r="145" spans="1:26" hidden="1" x14ac:dyDescent="0.25">
      <c r="A145" s="25" t="s">
        <v>41</v>
      </c>
      <c r="B145" s="78">
        <v>1243</v>
      </c>
      <c r="C145" s="4" t="s">
        <v>53</v>
      </c>
      <c r="D145" s="4" t="s">
        <v>164</v>
      </c>
      <c r="E145" s="4" t="s">
        <v>11</v>
      </c>
      <c r="F145" s="4" t="s">
        <v>157</v>
      </c>
      <c r="G145" s="4">
        <v>124302</v>
      </c>
      <c r="H145" s="4">
        <f>Tabel1[[#This Row],[Stald_kode]]+Tabel1[[#This Row],[Dyr_Kode]]</f>
        <v>125545</v>
      </c>
      <c r="I145" s="12">
        <v>0</v>
      </c>
      <c r="J145" s="4" t="s">
        <v>121</v>
      </c>
      <c r="K145" s="4"/>
      <c r="L145" s="14">
        <v>8.81</v>
      </c>
      <c r="M145" s="14">
        <v>0.121</v>
      </c>
      <c r="N145" s="14">
        <f>Tabel1[[#This Row],[Antal dyr i Kommunen 2018]]*Tabel1[[#This Row],[Gødning (g) pr. dyr (ton)]]</f>
        <v>0</v>
      </c>
      <c r="O145" s="15"/>
      <c r="P145" s="14"/>
      <c r="Q145" s="13">
        <v>132</v>
      </c>
      <c r="R145" s="7">
        <v>181</v>
      </c>
      <c r="S145" s="13">
        <f t="shared" si="12"/>
        <v>544.3952438356165</v>
      </c>
      <c r="T145" s="9">
        <f t="shared" si="18"/>
        <v>308.41275616438361</v>
      </c>
      <c r="U145" s="7">
        <v>12.5</v>
      </c>
      <c r="V145" s="7">
        <v>0.18</v>
      </c>
      <c r="W145" s="9">
        <f t="shared" si="13"/>
        <v>12.856080600000002</v>
      </c>
      <c r="X145" s="79">
        <f>(W145*I145)/1000</f>
        <v>0</v>
      </c>
      <c r="Z145" s="8"/>
    </row>
    <row r="146" spans="1:26" hidden="1" x14ac:dyDescent="0.25">
      <c r="A146" s="25" t="s">
        <v>41</v>
      </c>
      <c r="B146" s="78">
        <v>1243</v>
      </c>
      <c r="C146" s="4" t="s">
        <v>53</v>
      </c>
      <c r="D146" s="4" t="s">
        <v>164</v>
      </c>
      <c r="E146" s="4" t="s">
        <v>19</v>
      </c>
      <c r="F146" s="4" t="s">
        <v>29</v>
      </c>
      <c r="G146" s="4">
        <v>124303</v>
      </c>
      <c r="H146" s="4">
        <f>Tabel1[[#This Row],[Stald_kode]]+Tabel1[[#This Row],[Dyr_Kode]]</f>
        <v>125546</v>
      </c>
      <c r="I146" s="12">
        <v>240.79</v>
      </c>
      <c r="J146" s="15"/>
      <c r="K146" s="4" t="s">
        <v>29</v>
      </c>
      <c r="L146" s="14"/>
      <c r="M146" s="14"/>
      <c r="N146" s="14">
        <f>Tabel1[[#This Row],[Antal dyr i Kommunen 2018]]*Tabel1[[#This Row],[Gødning (g) pr. dyr (ton)]]</f>
        <v>0</v>
      </c>
      <c r="O146" s="14">
        <v>6.99</v>
      </c>
      <c r="P146" s="14">
        <v>0.3</v>
      </c>
      <c r="Q146" s="14">
        <v>132</v>
      </c>
      <c r="R146" s="7">
        <v>181</v>
      </c>
      <c r="S146" s="13">
        <f t="shared" si="12"/>
        <v>1338.0304919178081</v>
      </c>
      <c r="T146" s="9">
        <f>(O146*1000)/365*P146*0.8*Q146</f>
        <v>606.69369863013696</v>
      </c>
      <c r="U146" s="7">
        <v>17</v>
      </c>
      <c r="V146" s="7">
        <v>0.18</v>
      </c>
      <c r="W146" s="9">
        <f t="shared" si="13"/>
        <v>39.87073535461397</v>
      </c>
      <c r="X146" s="79">
        <f>(W146*I146)/1000</f>
        <v>9.6004743660374974</v>
      </c>
      <c r="Z146" s="8"/>
    </row>
    <row r="147" spans="1:26" hidden="1" x14ac:dyDescent="0.25">
      <c r="A147" s="25" t="s">
        <v>41</v>
      </c>
      <c r="B147" s="78">
        <v>1243</v>
      </c>
      <c r="C147" s="4" t="s">
        <v>53</v>
      </c>
      <c r="D147" s="4" t="s">
        <v>164</v>
      </c>
      <c r="E147" s="4" t="s">
        <v>101</v>
      </c>
      <c r="F147" s="4" t="s">
        <v>29</v>
      </c>
      <c r="G147" s="4">
        <v>124304</v>
      </c>
      <c r="H147" s="4">
        <f>Tabel1[[#This Row],[Stald_kode]]+Tabel1[[#This Row],[Dyr_Kode]]</f>
        <v>125547</v>
      </c>
      <c r="I147" s="12">
        <v>0</v>
      </c>
      <c r="J147" s="15"/>
      <c r="K147" s="4" t="s">
        <v>29</v>
      </c>
      <c r="L147" s="14"/>
      <c r="M147" s="14"/>
      <c r="N147" s="14">
        <f>Tabel1[[#This Row],[Antal dyr i Kommunen 2018]]*Tabel1[[#This Row],[Gødning (g) pr. dyr (ton)]]</f>
        <v>0</v>
      </c>
      <c r="O147" s="14">
        <v>9.3000000000000007</v>
      </c>
      <c r="P147" s="14">
        <v>0.3</v>
      </c>
      <c r="Q147" s="13">
        <v>132</v>
      </c>
      <c r="R147" s="7">
        <v>181</v>
      </c>
      <c r="S147" s="13">
        <f t="shared" si="12"/>
        <v>1780.2122424657532</v>
      </c>
      <c r="T147" s="9">
        <f>(O147*1000)/365*P147*0.8*Q147</f>
        <v>807.18904109589039</v>
      </c>
      <c r="U147" s="7">
        <v>17</v>
      </c>
      <c r="V147" s="7">
        <v>0.18</v>
      </c>
      <c r="W147" s="9">
        <f t="shared" si="13"/>
        <v>53.046901115580816</v>
      </c>
      <c r="X147" s="79">
        <f>(W147*I147)/1000</f>
        <v>0</v>
      </c>
      <c r="Z147" s="8"/>
    </row>
    <row r="148" spans="1:26" hidden="1" x14ac:dyDescent="0.25">
      <c r="A148" s="25" t="s">
        <v>41</v>
      </c>
      <c r="B148" s="78">
        <v>1243</v>
      </c>
      <c r="C148" s="4" t="s">
        <v>53</v>
      </c>
      <c r="D148" s="4" t="s">
        <v>164</v>
      </c>
      <c r="E148" s="4" t="s">
        <v>15</v>
      </c>
      <c r="F148" s="4" t="s">
        <v>29</v>
      </c>
      <c r="G148" s="4">
        <v>124305</v>
      </c>
      <c r="H148" s="4">
        <f>Tabel1[[#This Row],[Stald_kode]]+Tabel1[[#This Row],[Dyr_Kode]]</f>
        <v>125548</v>
      </c>
      <c r="I148" s="12">
        <v>0</v>
      </c>
      <c r="J148" s="4" t="s">
        <v>121</v>
      </c>
      <c r="K148" s="4"/>
      <c r="L148" s="14">
        <v>5.5</v>
      </c>
      <c r="M148" s="14">
        <v>6.9000000000000006E-2</v>
      </c>
      <c r="N148" s="14">
        <f>Tabel1[[#This Row],[Antal dyr i Kommunen 2018]]*Tabel1[[#This Row],[Gødning (g) pr. dyr (ton)]]</f>
        <v>0</v>
      </c>
      <c r="O148" s="15"/>
      <c r="P148" s="14"/>
      <c r="Q148" s="14">
        <v>132</v>
      </c>
      <c r="R148" s="7">
        <v>181</v>
      </c>
      <c r="S148" s="13">
        <f t="shared" si="12"/>
        <v>193.80493150684936</v>
      </c>
      <c r="T148" s="9">
        <f>(L148*1000)/365*M148*0.8*Q148</f>
        <v>109.79506849315069</v>
      </c>
      <c r="U148" s="7">
        <v>12.5</v>
      </c>
      <c r="V148" s="7">
        <v>0.18</v>
      </c>
      <c r="W148" s="9">
        <f t="shared" si="13"/>
        <v>4.5767700000000016</v>
      </c>
      <c r="X148" s="79">
        <f>(W148*I148)/1000</f>
        <v>0</v>
      </c>
      <c r="Z148" s="8"/>
    </row>
    <row r="149" spans="1:26" hidden="1" x14ac:dyDescent="0.25">
      <c r="A149" s="26" t="s">
        <v>41</v>
      </c>
      <c r="B149" s="80"/>
      <c r="C149" s="4" t="s">
        <v>53</v>
      </c>
      <c r="D149" s="4" t="s">
        <v>164</v>
      </c>
      <c r="E149" s="4" t="s">
        <v>15</v>
      </c>
      <c r="F149" s="4" t="s">
        <v>29</v>
      </c>
      <c r="G149" s="4"/>
      <c r="H149" s="4">
        <f>Tabel1[[#This Row],[Stald_kode]]+Tabel1[[#This Row],[Dyr_Kode]]</f>
        <v>0</v>
      </c>
      <c r="I149" s="12"/>
      <c r="J149" s="4"/>
      <c r="K149" s="4" t="s">
        <v>29</v>
      </c>
      <c r="L149" s="15"/>
      <c r="M149" s="15"/>
      <c r="N149" s="14">
        <f>Tabel1[[#This Row],[Antal dyr i Kommunen 2018]]*Tabel1[[#This Row],[Gødning (g) pr. dyr (ton)]]</f>
        <v>0</v>
      </c>
      <c r="O149" s="13">
        <v>6.95</v>
      </c>
      <c r="P149" s="13">
        <v>0.3</v>
      </c>
      <c r="Q149" s="13">
        <v>132</v>
      </c>
      <c r="R149" s="7">
        <v>181</v>
      </c>
      <c r="S149" s="13">
        <f t="shared" si="12"/>
        <v>1330.3736650684932</v>
      </c>
      <c r="T149" s="9">
        <f>(O149*1000)/365*P149*0.8*Q149</f>
        <v>603.22191780821913</v>
      </c>
      <c r="U149" s="7">
        <v>17</v>
      </c>
      <c r="V149" s="7">
        <v>0.18</v>
      </c>
      <c r="W149" s="9">
        <f t="shared" si="13"/>
        <v>39.642576640138358</v>
      </c>
      <c r="X149" s="79">
        <f>(Tabel1[[#This Row],[CH4 pr. dyr (Kg)]]*I148)/1000</f>
        <v>0</v>
      </c>
      <c r="Z149" s="8"/>
    </row>
    <row r="150" spans="1:26" hidden="1" x14ac:dyDescent="0.25">
      <c r="A150" s="25" t="s">
        <v>41</v>
      </c>
      <c r="B150" s="78">
        <v>1243</v>
      </c>
      <c r="C150" s="4" t="s">
        <v>53</v>
      </c>
      <c r="D150" s="4" t="s">
        <v>164</v>
      </c>
      <c r="E150" s="4" t="s">
        <v>86</v>
      </c>
      <c r="F150" s="4" t="s">
        <v>29</v>
      </c>
      <c r="G150" s="4">
        <v>124307</v>
      </c>
      <c r="H150" s="4">
        <f>Tabel1[[#This Row],[Stald_kode]]+Tabel1[[#This Row],[Dyr_Kode]]</f>
        <v>125550</v>
      </c>
      <c r="I150" s="12">
        <v>0</v>
      </c>
      <c r="J150" s="4" t="s">
        <v>121</v>
      </c>
      <c r="K150" s="4"/>
      <c r="L150" s="14">
        <v>5.5</v>
      </c>
      <c r="M150" s="14">
        <v>6.9000000000000006E-2</v>
      </c>
      <c r="N150" s="14">
        <f>Tabel1[[#This Row],[Antal dyr i Kommunen 2018]]*Tabel1[[#This Row],[Gødning (g) pr. dyr (ton)]]</f>
        <v>0</v>
      </c>
      <c r="O150" s="15"/>
      <c r="P150" s="14"/>
      <c r="Q150" s="14">
        <v>132</v>
      </c>
      <c r="R150" s="7">
        <v>181</v>
      </c>
      <c r="S150" s="13">
        <f t="shared" si="12"/>
        <v>193.80493150684936</v>
      </c>
      <c r="T150" s="9">
        <f>(L150*1000)/365*M150*0.8*Q150</f>
        <v>109.79506849315069</v>
      </c>
      <c r="U150" s="7">
        <v>12.5</v>
      </c>
      <c r="V150" s="7">
        <v>0.18</v>
      </c>
      <c r="W150" s="9">
        <f t="shared" si="13"/>
        <v>4.5767700000000016</v>
      </c>
      <c r="X150" s="79">
        <f>(W150*I150)/1000</f>
        <v>0</v>
      </c>
      <c r="Z150" s="8"/>
    </row>
    <row r="151" spans="1:26" hidden="1" x14ac:dyDescent="0.25">
      <c r="A151" s="26" t="s">
        <v>41</v>
      </c>
      <c r="B151" s="80"/>
      <c r="C151" s="4" t="s">
        <v>53</v>
      </c>
      <c r="D151" s="4" t="s">
        <v>164</v>
      </c>
      <c r="E151" s="4" t="s">
        <v>86</v>
      </c>
      <c r="F151" s="4" t="s">
        <v>29</v>
      </c>
      <c r="G151" s="4"/>
      <c r="H151" s="4">
        <f>Tabel1[[#This Row],[Stald_kode]]+Tabel1[[#This Row],[Dyr_Kode]]</f>
        <v>0</v>
      </c>
      <c r="I151" s="12"/>
      <c r="J151" s="4"/>
      <c r="K151" s="4" t="s">
        <v>29</v>
      </c>
      <c r="L151" s="15"/>
      <c r="M151" s="15"/>
      <c r="N151" s="14">
        <f>Tabel1[[#This Row],[Antal dyr i Kommunen 2018]]*Tabel1[[#This Row],[Gødning (g) pr. dyr (ton)]]</f>
        <v>0</v>
      </c>
      <c r="O151" s="13">
        <v>6.95</v>
      </c>
      <c r="P151" s="13">
        <v>0.3</v>
      </c>
      <c r="Q151" s="13">
        <v>132</v>
      </c>
      <c r="R151" s="7">
        <v>181</v>
      </c>
      <c r="S151" s="13">
        <f t="shared" ref="S151:S214" si="19">(L151*1000)/365*M151*(365-Q151)*0.8+(O151*1000)/365*P151*(365-Q151)*(1-0.045/100)</f>
        <v>1330.3736650684932</v>
      </c>
      <c r="T151" s="9">
        <f>(O151*1000)/365*P151*0.8*Q151</f>
        <v>603.22191780821913</v>
      </c>
      <c r="U151" s="7">
        <v>17</v>
      </c>
      <c r="V151" s="7">
        <v>0.18</v>
      </c>
      <c r="W151" s="9">
        <f t="shared" si="13"/>
        <v>39.642576640138358</v>
      </c>
      <c r="X151" s="79">
        <f>(Tabel1[[#This Row],[CH4 pr. dyr (Kg)]]*I150)/1000</f>
        <v>0</v>
      </c>
      <c r="Z151" s="8"/>
    </row>
    <row r="152" spans="1:26" hidden="1" x14ac:dyDescent="0.25">
      <c r="A152" s="25" t="s">
        <v>41</v>
      </c>
      <c r="B152" s="78">
        <v>1243</v>
      </c>
      <c r="C152" s="4" t="s">
        <v>53</v>
      </c>
      <c r="D152" s="4" t="s">
        <v>164</v>
      </c>
      <c r="E152" s="4" t="s">
        <v>90</v>
      </c>
      <c r="F152" s="4" t="s">
        <v>29</v>
      </c>
      <c r="G152" s="4">
        <v>124306</v>
      </c>
      <c r="H152" s="4">
        <f>Tabel1[[#This Row],[Stald_kode]]+Tabel1[[#This Row],[Dyr_Kode]]</f>
        <v>125549</v>
      </c>
      <c r="I152" s="12">
        <v>0</v>
      </c>
      <c r="J152" s="4" t="s">
        <v>121</v>
      </c>
      <c r="K152" s="4"/>
      <c r="L152" s="14">
        <v>5.5</v>
      </c>
      <c r="M152" s="14">
        <v>6.9000000000000006E-2</v>
      </c>
      <c r="N152" s="14">
        <f>Tabel1[[#This Row],[Antal dyr i Kommunen 2018]]*Tabel1[[#This Row],[Gødning (g) pr. dyr (ton)]]</f>
        <v>0</v>
      </c>
      <c r="O152" s="15"/>
      <c r="P152" s="14"/>
      <c r="Q152" s="14">
        <v>132</v>
      </c>
      <c r="R152" s="7">
        <v>181</v>
      </c>
      <c r="S152" s="13">
        <f t="shared" si="19"/>
        <v>193.80493150684936</v>
      </c>
      <c r="T152" s="9">
        <f>(L152*1000)/365*M152*0.8*Q152</f>
        <v>109.79506849315069</v>
      </c>
      <c r="U152" s="7">
        <v>12.5</v>
      </c>
      <c r="V152" s="7">
        <v>0.18</v>
      </c>
      <c r="W152" s="9">
        <f t="shared" si="13"/>
        <v>4.5767700000000016</v>
      </c>
      <c r="X152" s="79">
        <f>(W152*I152)/1000</f>
        <v>0</v>
      </c>
      <c r="Z152" s="8"/>
    </row>
    <row r="153" spans="1:26" hidden="1" x14ac:dyDescent="0.25">
      <c r="A153" s="26" t="s">
        <v>41</v>
      </c>
      <c r="B153" s="80"/>
      <c r="C153" s="4" t="s">
        <v>53</v>
      </c>
      <c r="D153" s="4" t="s">
        <v>164</v>
      </c>
      <c r="E153" s="4" t="s">
        <v>90</v>
      </c>
      <c r="F153" s="4" t="s">
        <v>29</v>
      </c>
      <c r="G153" s="4"/>
      <c r="H153" s="4">
        <f>Tabel1[[#This Row],[Stald_kode]]+Tabel1[[#This Row],[Dyr_Kode]]</f>
        <v>0</v>
      </c>
      <c r="I153" s="12"/>
      <c r="J153" s="4"/>
      <c r="K153" s="4" t="s">
        <v>29</v>
      </c>
      <c r="L153" s="15"/>
      <c r="M153" s="15"/>
      <c r="N153" s="14">
        <f>Tabel1[[#This Row],[Antal dyr i Kommunen 2018]]*Tabel1[[#This Row],[Gødning (g) pr. dyr (ton)]]</f>
        <v>0</v>
      </c>
      <c r="O153" s="13">
        <v>6.95</v>
      </c>
      <c r="P153" s="13">
        <v>0.3</v>
      </c>
      <c r="Q153" s="13">
        <v>132</v>
      </c>
      <c r="R153" s="7">
        <v>181</v>
      </c>
      <c r="S153" s="13">
        <f t="shared" si="19"/>
        <v>1330.3736650684932</v>
      </c>
      <c r="T153" s="9">
        <f>(O153*1000)/365*P153*0.8*Q153</f>
        <v>603.22191780821913</v>
      </c>
      <c r="U153" s="7">
        <v>17</v>
      </c>
      <c r="V153" s="7">
        <v>0.18</v>
      </c>
      <c r="W153" s="9">
        <f t="shared" si="13"/>
        <v>39.642576640138358</v>
      </c>
      <c r="X153" s="79">
        <f>(Tabel1[[#This Row],[CH4 pr. dyr (Kg)]]*I152)/1000</f>
        <v>0</v>
      </c>
      <c r="Z153" s="8"/>
    </row>
    <row r="154" spans="1:26" hidden="1" x14ac:dyDescent="0.25">
      <c r="A154" s="25" t="s">
        <v>41</v>
      </c>
      <c r="B154" s="78">
        <v>1243</v>
      </c>
      <c r="C154" s="4" t="s">
        <v>53</v>
      </c>
      <c r="D154" s="4" t="s">
        <v>164</v>
      </c>
      <c r="E154" s="4" t="s">
        <v>109</v>
      </c>
      <c r="F154" s="4" t="s">
        <v>156</v>
      </c>
      <c r="G154" s="4">
        <v>124310</v>
      </c>
      <c r="H154" s="4">
        <f>Tabel1[[#This Row],[Stald_kode]]+Tabel1[[#This Row],[Dyr_Kode]]</f>
        <v>125553</v>
      </c>
      <c r="I154" s="12">
        <v>0</v>
      </c>
      <c r="J154" s="4" t="s">
        <v>121</v>
      </c>
      <c r="K154" s="4"/>
      <c r="L154" s="14">
        <v>8.1999999999999993</v>
      </c>
      <c r="M154" s="14">
        <v>0.121</v>
      </c>
      <c r="N154" s="14">
        <f>Tabel1[[#This Row],[Antal dyr i Kommunen 2018]]*Tabel1[[#This Row],[Gødning (g) pr. dyr (ton)]]</f>
        <v>0</v>
      </c>
      <c r="O154" s="15"/>
      <c r="P154" s="14"/>
      <c r="Q154" s="14">
        <v>132</v>
      </c>
      <c r="R154" s="7">
        <v>181</v>
      </c>
      <c r="S154" s="13">
        <f t="shared" si="19"/>
        <v>506.70158904109599</v>
      </c>
      <c r="T154" s="9">
        <f>(L154*1000)/365*M154*0.8*Q154</f>
        <v>287.05841095890412</v>
      </c>
      <c r="U154" s="7">
        <v>12.5</v>
      </c>
      <c r="V154" s="7">
        <v>0.18</v>
      </c>
      <c r="W154" s="9">
        <f t="shared" si="13"/>
        <v>11.965932000000002</v>
      </c>
      <c r="X154" s="79">
        <f>(W154*I154)/1000</f>
        <v>0</v>
      </c>
      <c r="Z154" s="8"/>
    </row>
    <row r="155" spans="1:26" hidden="1" x14ac:dyDescent="0.25">
      <c r="A155" s="25" t="s">
        <v>41</v>
      </c>
      <c r="B155" s="78">
        <v>1243</v>
      </c>
      <c r="C155" s="4" t="s">
        <v>53</v>
      </c>
      <c r="D155" s="4" t="s">
        <v>164</v>
      </c>
      <c r="E155" s="4" t="s">
        <v>18</v>
      </c>
      <c r="F155" s="4" t="s">
        <v>156</v>
      </c>
      <c r="G155" s="4">
        <v>124309</v>
      </c>
      <c r="H155" s="4">
        <f>Tabel1[[#This Row],[Stald_kode]]+Tabel1[[#This Row],[Dyr_Kode]]</f>
        <v>125552</v>
      </c>
      <c r="I155" s="12">
        <v>0</v>
      </c>
      <c r="J155" s="4" t="s">
        <v>121</v>
      </c>
      <c r="K155" s="4"/>
      <c r="L155" s="14">
        <v>8.1999999999999993</v>
      </c>
      <c r="M155" s="14">
        <v>0.121</v>
      </c>
      <c r="N155" s="14">
        <f>Tabel1[[#This Row],[Antal dyr i Kommunen 2018]]*Tabel1[[#This Row],[Gødning (g) pr. dyr (ton)]]</f>
        <v>0</v>
      </c>
      <c r="O155" s="15"/>
      <c r="P155" s="14"/>
      <c r="Q155" s="13">
        <v>132</v>
      </c>
      <c r="R155" s="7">
        <v>181</v>
      </c>
      <c r="S155" s="13">
        <f t="shared" si="19"/>
        <v>506.70158904109599</v>
      </c>
      <c r="T155" s="9">
        <f>(L155*1000)/365*M155*0.8*Q155</f>
        <v>287.05841095890412</v>
      </c>
      <c r="U155" s="7">
        <v>12.5</v>
      </c>
      <c r="V155" s="7">
        <v>0.18</v>
      </c>
      <c r="W155" s="9">
        <f t="shared" si="13"/>
        <v>11.965932000000002</v>
      </c>
      <c r="X155" s="79">
        <f>(W155*I155)/1000</f>
        <v>0</v>
      </c>
      <c r="Z155" s="8"/>
    </row>
    <row r="156" spans="1:26" hidden="1" x14ac:dyDescent="0.25">
      <c r="A156" s="25" t="s">
        <v>41</v>
      </c>
      <c r="B156" s="78">
        <v>1243</v>
      </c>
      <c r="C156" s="4" t="s">
        <v>53</v>
      </c>
      <c r="D156" s="4" t="s">
        <v>164</v>
      </c>
      <c r="E156" s="4" t="s">
        <v>120</v>
      </c>
      <c r="F156" s="4" t="s">
        <v>156</v>
      </c>
      <c r="G156" s="4">
        <v>124311</v>
      </c>
      <c r="H156" s="4">
        <f>Tabel1[[#This Row],[Stald_kode]]+Tabel1[[#This Row],[Dyr_Kode]]</f>
        <v>125554</v>
      </c>
      <c r="I156" s="12">
        <v>0</v>
      </c>
      <c r="J156" s="4" t="s">
        <v>121</v>
      </c>
      <c r="K156" s="4"/>
      <c r="L156" s="14">
        <v>8.1999999999999993</v>
      </c>
      <c r="M156" s="14">
        <v>0.121</v>
      </c>
      <c r="N156" s="14">
        <f>Tabel1[[#This Row],[Antal dyr i Kommunen 2018]]*Tabel1[[#This Row],[Gødning (g) pr. dyr (ton)]]</f>
        <v>0</v>
      </c>
      <c r="O156" s="15"/>
      <c r="P156" s="14"/>
      <c r="Q156" s="14">
        <v>132</v>
      </c>
      <c r="R156" s="7">
        <v>181</v>
      </c>
      <c r="S156" s="13">
        <f t="shared" si="19"/>
        <v>506.70158904109599</v>
      </c>
      <c r="T156" s="9">
        <f>(L156*1000)/365*M156*0.8*Q156</f>
        <v>287.05841095890412</v>
      </c>
      <c r="U156" s="7">
        <v>12.5</v>
      </c>
      <c r="V156" s="7">
        <v>0.18</v>
      </c>
      <c r="W156" s="9">
        <f t="shared" ref="W156:W219" si="20">(S156*U156/100*0.67*V156)+(T156*U156/100*0.67*V156)</f>
        <v>11.965932000000002</v>
      </c>
      <c r="X156" s="79">
        <f>(W156*I156)/1000</f>
        <v>0</v>
      </c>
      <c r="Z156" s="8"/>
    </row>
    <row r="157" spans="1:26" hidden="1" x14ac:dyDescent="0.25">
      <c r="A157" s="25" t="s">
        <v>41</v>
      </c>
      <c r="B157" s="78">
        <v>1241</v>
      </c>
      <c r="C157" s="4" t="s">
        <v>62</v>
      </c>
      <c r="D157" s="4" t="s">
        <v>164</v>
      </c>
      <c r="E157" s="4" t="s">
        <v>10</v>
      </c>
      <c r="F157" s="4" t="s">
        <v>157</v>
      </c>
      <c r="G157" s="4">
        <v>124101</v>
      </c>
      <c r="H157" s="4">
        <f>Tabel1[[#This Row],[Stald_kode]]+Tabel1[[#This Row],[Dyr_Kode]]</f>
        <v>125342</v>
      </c>
      <c r="I157" s="12">
        <v>0</v>
      </c>
      <c r="J157" s="4" t="s">
        <v>124</v>
      </c>
      <c r="K157" s="4"/>
      <c r="L157" s="14">
        <v>2.61</v>
      </c>
      <c r="M157" s="14">
        <v>0.22800000000000001</v>
      </c>
      <c r="N157" s="14">
        <f>Tabel1[[#This Row],[Antal dyr i Kommunen 2018]]*Tabel1[[#This Row],[Gødning (g) pr. dyr (ton)]]</f>
        <v>0</v>
      </c>
      <c r="O157" s="15"/>
      <c r="P157" s="14"/>
      <c r="Q157" s="13">
        <v>132</v>
      </c>
      <c r="R157" s="7">
        <v>181</v>
      </c>
      <c r="S157" s="13">
        <f t="shared" si="19"/>
        <v>303.89838904109592</v>
      </c>
      <c r="T157" s="9">
        <f>(L157*1000)/365*M157*0.8*Q157</f>
        <v>172.16561095890413</v>
      </c>
      <c r="U157" s="7">
        <v>2</v>
      </c>
      <c r="V157" s="7">
        <v>0.18</v>
      </c>
      <c r="W157" s="9">
        <f t="shared" si="20"/>
        <v>1.1482663680000003</v>
      </c>
      <c r="X157" s="79">
        <f>(W157*I157)/1000</f>
        <v>0</v>
      </c>
      <c r="Z157" s="8"/>
    </row>
    <row r="158" spans="1:26" hidden="1" x14ac:dyDescent="0.25">
      <c r="A158" s="26" t="s">
        <v>41</v>
      </c>
      <c r="B158" s="80"/>
      <c r="C158" s="4" t="s">
        <v>62</v>
      </c>
      <c r="D158" s="4" t="s">
        <v>164</v>
      </c>
      <c r="E158" s="4" t="s">
        <v>10</v>
      </c>
      <c r="F158" s="4" t="s">
        <v>157</v>
      </c>
      <c r="G158" s="4"/>
      <c r="H158" s="4">
        <f>Tabel1[[#This Row],[Stald_kode]]+Tabel1[[#This Row],[Dyr_Kode]]</f>
        <v>0</v>
      </c>
      <c r="I158" s="12"/>
      <c r="J158" s="4" t="s">
        <v>124</v>
      </c>
      <c r="K158" s="4" t="s">
        <v>127</v>
      </c>
      <c r="L158" s="15"/>
      <c r="M158" s="15"/>
      <c r="N158" s="14">
        <f>Tabel1[[#This Row],[Antal dyr i Kommunen 2018]]*Tabel1[[#This Row],[Gødning (g) pr. dyr (ton)]]</f>
        <v>0</v>
      </c>
      <c r="O158" s="13">
        <v>2.86</v>
      </c>
      <c r="P158" s="13">
        <v>3.7999999999999999E-2</v>
      </c>
      <c r="Q158" s="14">
        <v>132</v>
      </c>
      <c r="R158" s="7">
        <v>181</v>
      </c>
      <c r="S158" s="13">
        <f t="shared" si="19"/>
        <v>69.345328498630138</v>
      </c>
      <c r="T158" s="9">
        <f>(O158*1000)/365*P158*0.8*Q158</f>
        <v>31.442761643835617</v>
      </c>
      <c r="U158" s="7">
        <v>2</v>
      </c>
      <c r="V158" s="7">
        <v>0.18</v>
      </c>
      <c r="W158" s="9">
        <f t="shared" si="20"/>
        <v>0.24310087342362741</v>
      </c>
      <c r="X158" s="79">
        <f>(Tabel1[[#This Row],[CH4 pr. dyr (Kg)]]*I157)/1000</f>
        <v>0</v>
      </c>
      <c r="Z158" s="8"/>
    </row>
    <row r="159" spans="1:26" hidden="1" x14ac:dyDescent="0.25">
      <c r="A159" s="25" t="s">
        <v>41</v>
      </c>
      <c r="B159" s="78">
        <v>1241</v>
      </c>
      <c r="C159" s="4" t="s">
        <v>62</v>
      </c>
      <c r="D159" s="4" t="s">
        <v>164</v>
      </c>
      <c r="E159" s="4" t="s">
        <v>11</v>
      </c>
      <c r="F159" s="4" t="s">
        <v>157</v>
      </c>
      <c r="G159" s="4">
        <v>124102</v>
      </c>
      <c r="H159" s="4">
        <f>Tabel1[[#This Row],[Stald_kode]]+Tabel1[[#This Row],[Dyr_Kode]]</f>
        <v>125343</v>
      </c>
      <c r="I159" s="12">
        <v>0</v>
      </c>
      <c r="J159" s="4" t="s">
        <v>121</v>
      </c>
      <c r="K159" s="4"/>
      <c r="L159" s="14">
        <v>5.5</v>
      </c>
      <c r="M159" s="14">
        <v>0.121</v>
      </c>
      <c r="N159" s="14">
        <f>Tabel1[[#This Row],[Antal dyr i Kommunen 2018]]*Tabel1[[#This Row],[Gødning (g) pr. dyr (ton)]]</f>
        <v>0</v>
      </c>
      <c r="O159" s="15"/>
      <c r="P159" s="14"/>
      <c r="Q159" s="13">
        <v>132</v>
      </c>
      <c r="R159" s="7">
        <v>181</v>
      </c>
      <c r="S159" s="13">
        <f t="shared" si="19"/>
        <v>339.86082191780821</v>
      </c>
      <c r="T159" s="9">
        <f>(L159*1000)/365*M159*0.8*Q159</f>
        <v>192.5391780821918</v>
      </c>
      <c r="U159" s="7">
        <v>12.5</v>
      </c>
      <c r="V159" s="7">
        <v>0.18</v>
      </c>
      <c r="W159" s="9">
        <f t="shared" si="20"/>
        <v>8.0259300000000007</v>
      </c>
      <c r="X159" s="79">
        <f>(W159*I159)/1000</f>
        <v>0</v>
      </c>
      <c r="Z159" s="8"/>
    </row>
    <row r="160" spans="1:26" hidden="1" x14ac:dyDescent="0.25">
      <c r="A160" s="25" t="s">
        <v>41</v>
      </c>
      <c r="B160" s="78">
        <v>1241</v>
      </c>
      <c r="C160" s="4" t="s">
        <v>62</v>
      </c>
      <c r="D160" s="4" t="s">
        <v>164</v>
      </c>
      <c r="E160" s="4" t="s">
        <v>19</v>
      </c>
      <c r="F160" s="4" t="s">
        <v>29</v>
      </c>
      <c r="G160" s="4">
        <v>124103</v>
      </c>
      <c r="H160" s="4">
        <f>Tabel1[[#This Row],[Stald_kode]]+Tabel1[[#This Row],[Dyr_Kode]]</f>
        <v>125344</v>
      </c>
      <c r="I160" s="12">
        <v>0</v>
      </c>
      <c r="J160" s="15"/>
      <c r="K160" s="4" t="s">
        <v>29</v>
      </c>
      <c r="L160" s="14"/>
      <c r="M160" s="14"/>
      <c r="N160" s="14">
        <f>Tabel1[[#This Row],[Antal dyr i Kommunen 2018]]*Tabel1[[#This Row],[Gødning (g) pr. dyr (ton)]]</f>
        <v>0</v>
      </c>
      <c r="O160" s="14">
        <v>6.99</v>
      </c>
      <c r="P160" s="14">
        <v>0.3</v>
      </c>
      <c r="Q160" s="14">
        <v>132</v>
      </c>
      <c r="R160" s="7">
        <v>181</v>
      </c>
      <c r="S160" s="13">
        <f t="shared" si="19"/>
        <v>1338.0304919178081</v>
      </c>
      <c r="T160" s="9">
        <f>(O160*1000)/365*P160*0.8*Q160</f>
        <v>606.69369863013696</v>
      </c>
      <c r="U160" s="7">
        <v>17</v>
      </c>
      <c r="V160" s="7">
        <v>0.18</v>
      </c>
      <c r="W160" s="9">
        <f t="shared" si="20"/>
        <v>39.87073535461397</v>
      </c>
      <c r="X160" s="79">
        <f>(W160*I160)/1000</f>
        <v>0</v>
      </c>
      <c r="Z160" s="8"/>
    </row>
    <row r="161" spans="1:26" hidden="1" x14ac:dyDescent="0.25">
      <c r="A161" s="25" t="s">
        <v>41</v>
      </c>
      <c r="B161" s="78">
        <v>1241</v>
      </c>
      <c r="C161" s="4" t="s">
        <v>62</v>
      </c>
      <c r="D161" s="4" t="s">
        <v>164</v>
      </c>
      <c r="E161" s="4" t="s">
        <v>101</v>
      </c>
      <c r="F161" s="4" t="s">
        <v>29</v>
      </c>
      <c r="G161" s="4">
        <v>124104</v>
      </c>
      <c r="H161" s="4">
        <f>Tabel1[[#This Row],[Stald_kode]]+Tabel1[[#This Row],[Dyr_Kode]]</f>
        <v>125345</v>
      </c>
      <c r="I161" s="12">
        <v>0</v>
      </c>
      <c r="J161" s="15"/>
      <c r="K161" s="4" t="s">
        <v>29</v>
      </c>
      <c r="L161" s="14"/>
      <c r="M161" s="14"/>
      <c r="N161" s="14">
        <f>Tabel1[[#This Row],[Antal dyr i Kommunen 2018]]*Tabel1[[#This Row],[Gødning (g) pr. dyr (ton)]]</f>
        <v>0</v>
      </c>
      <c r="O161" s="14">
        <v>6.42</v>
      </c>
      <c r="P161" s="14">
        <v>0.3</v>
      </c>
      <c r="Q161" s="13">
        <v>132</v>
      </c>
      <c r="R161" s="7">
        <v>181</v>
      </c>
      <c r="S161" s="13">
        <f t="shared" si="19"/>
        <v>1228.9207093150687</v>
      </c>
      <c r="T161" s="9">
        <f>(O161*1000)/365*P161*0.8*Q161</f>
        <v>557.22082191780828</v>
      </c>
      <c r="U161" s="7">
        <v>17</v>
      </c>
      <c r="V161" s="7">
        <v>0.18</v>
      </c>
      <c r="W161" s="9">
        <f t="shared" si="20"/>
        <v>36.619473673336444</v>
      </c>
      <c r="X161" s="79">
        <f>(W161*I161)/1000</f>
        <v>0</v>
      </c>
      <c r="Z161" s="8"/>
    </row>
    <row r="162" spans="1:26" hidden="1" x14ac:dyDescent="0.25">
      <c r="A162" s="25" t="s">
        <v>41</v>
      </c>
      <c r="B162" s="78">
        <v>1241</v>
      </c>
      <c r="C162" s="4" t="s">
        <v>62</v>
      </c>
      <c r="D162" s="4" t="s">
        <v>164</v>
      </c>
      <c r="E162" s="4" t="s">
        <v>15</v>
      </c>
      <c r="F162" s="4" t="s">
        <v>29</v>
      </c>
      <c r="G162" s="4">
        <v>124105</v>
      </c>
      <c r="H162" s="4">
        <f>Tabel1[[#This Row],[Stald_kode]]+Tabel1[[#This Row],[Dyr_Kode]]</f>
        <v>125346</v>
      </c>
      <c r="I162" s="12">
        <v>0</v>
      </c>
      <c r="J162" s="4" t="s">
        <v>121</v>
      </c>
      <c r="K162" s="4"/>
      <c r="L162" s="14">
        <v>3.35</v>
      </c>
      <c r="M162" s="14">
        <v>6.9000000000000006E-2</v>
      </c>
      <c r="N162" s="14">
        <f>Tabel1[[#This Row],[Antal dyr i Kommunen 2018]]*Tabel1[[#This Row],[Gødning (g) pr. dyr (ton)]]</f>
        <v>0</v>
      </c>
      <c r="O162" s="15"/>
      <c r="P162" s="14"/>
      <c r="Q162" s="14">
        <v>132</v>
      </c>
      <c r="R162" s="7">
        <v>181</v>
      </c>
      <c r="S162" s="13">
        <f t="shared" si="19"/>
        <v>118.04482191780824</v>
      </c>
      <c r="T162" s="9">
        <f>(L162*1000)/365*M162*0.8*Q162</f>
        <v>66.875178082191795</v>
      </c>
      <c r="U162" s="7">
        <v>12.5</v>
      </c>
      <c r="V162" s="7">
        <v>0.18</v>
      </c>
      <c r="W162" s="9">
        <f t="shared" si="20"/>
        <v>2.7876690000000002</v>
      </c>
      <c r="X162" s="79">
        <f>(W162*I162)/1000</f>
        <v>0</v>
      </c>
      <c r="Z162" s="8"/>
    </row>
    <row r="163" spans="1:26" hidden="1" x14ac:dyDescent="0.25">
      <c r="A163" s="26" t="s">
        <v>41</v>
      </c>
      <c r="B163" s="80"/>
      <c r="C163" s="4" t="s">
        <v>62</v>
      </c>
      <c r="D163" s="4" t="s">
        <v>164</v>
      </c>
      <c r="E163" s="4" t="s">
        <v>15</v>
      </c>
      <c r="F163" s="4" t="s">
        <v>29</v>
      </c>
      <c r="G163" s="4"/>
      <c r="H163" s="4">
        <f>Tabel1[[#This Row],[Stald_kode]]+Tabel1[[#This Row],[Dyr_Kode]]</f>
        <v>0</v>
      </c>
      <c r="I163" s="12"/>
      <c r="J163" s="4"/>
      <c r="K163" s="4" t="s">
        <v>29</v>
      </c>
      <c r="L163" s="15"/>
      <c r="M163" s="15"/>
      <c r="N163" s="14">
        <f>Tabel1[[#This Row],[Antal dyr i Kommunen 2018]]*Tabel1[[#This Row],[Gødning (g) pr. dyr (ton)]]</f>
        <v>0</v>
      </c>
      <c r="O163" s="13">
        <v>4.88</v>
      </c>
      <c r="P163" s="13">
        <v>0.3</v>
      </c>
      <c r="Q163" s="13">
        <v>132</v>
      </c>
      <c r="R163" s="7">
        <v>181</v>
      </c>
      <c r="S163" s="13">
        <f t="shared" si="19"/>
        <v>934.13287561643835</v>
      </c>
      <c r="T163" s="9">
        <f>(O163*1000)/365*P163*0.8*Q163</f>
        <v>423.55726027397259</v>
      </c>
      <c r="U163" s="7">
        <v>17</v>
      </c>
      <c r="V163" s="7">
        <v>0.18</v>
      </c>
      <c r="W163" s="9">
        <f t="shared" si="20"/>
        <v>27.835363166025203</v>
      </c>
      <c r="X163" s="79">
        <f>(Tabel1[[#This Row],[CH4 pr. dyr (Kg)]]*I162)/1000</f>
        <v>0</v>
      </c>
      <c r="Z163" s="8"/>
    </row>
    <row r="164" spans="1:26" hidden="1" x14ac:dyDescent="0.25">
      <c r="A164" s="25" t="s">
        <v>41</v>
      </c>
      <c r="B164" s="78">
        <v>1241</v>
      </c>
      <c r="C164" s="4" t="s">
        <v>62</v>
      </c>
      <c r="D164" s="4" t="s">
        <v>164</v>
      </c>
      <c r="E164" s="4" t="s">
        <v>86</v>
      </c>
      <c r="F164" s="4" t="s">
        <v>29</v>
      </c>
      <c r="G164" s="4">
        <v>124107</v>
      </c>
      <c r="H164" s="4">
        <f>Tabel1[[#This Row],[Stald_kode]]+Tabel1[[#This Row],[Dyr_Kode]]</f>
        <v>125348</v>
      </c>
      <c r="I164" s="12">
        <v>0</v>
      </c>
      <c r="J164" s="4" t="s">
        <v>121</v>
      </c>
      <c r="K164" s="4"/>
      <c r="L164" s="14">
        <v>3.35</v>
      </c>
      <c r="M164" s="14">
        <v>6.9000000000000006E-2</v>
      </c>
      <c r="N164" s="14">
        <f>Tabel1[[#This Row],[Antal dyr i Kommunen 2018]]*Tabel1[[#This Row],[Gødning (g) pr. dyr (ton)]]</f>
        <v>0</v>
      </c>
      <c r="O164" s="15"/>
      <c r="P164" s="14"/>
      <c r="Q164" s="14">
        <v>132</v>
      </c>
      <c r="R164" s="7">
        <v>181</v>
      </c>
      <c r="S164" s="13">
        <f t="shared" si="19"/>
        <v>118.04482191780824</v>
      </c>
      <c r="T164" s="9">
        <f>(L164*1000)/365*M164*0.8*Q164</f>
        <v>66.875178082191795</v>
      </c>
      <c r="U164" s="7">
        <v>12.5</v>
      </c>
      <c r="V164" s="7">
        <v>0.18</v>
      </c>
      <c r="W164" s="9">
        <f t="shared" si="20"/>
        <v>2.7876690000000002</v>
      </c>
      <c r="X164" s="79">
        <f>(W164*I164)/1000</f>
        <v>0</v>
      </c>
      <c r="Z164" s="8"/>
    </row>
    <row r="165" spans="1:26" hidden="1" x14ac:dyDescent="0.25">
      <c r="A165" s="26" t="s">
        <v>41</v>
      </c>
      <c r="B165" s="80"/>
      <c r="C165" s="4" t="s">
        <v>62</v>
      </c>
      <c r="D165" s="4" t="s">
        <v>164</v>
      </c>
      <c r="E165" s="4" t="s">
        <v>86</v>
      </c>
      <c r="F165" s="4" t="s">
        <v>29</v>
      </c>
      <c r="G165" s="4"/>
      <c r="H165" s="4">
        <f>Tabel1[[#This Row],[Stald_kode]]+Tabel1[[#This Row],[Dyr_Kode]]</f>
        <v>0</v>
      </c>
      <c r="I165" s="12"/>
      <c r="J165" s="4"/>
      <c r="K165" s="4" t="s">
        <v>29</v>
      </c>
      <c r="L165" s="15"/>
      <c r="M165" s="15"/>
      <c r="N165" s="14">
        <f>Tabel1[[#This Row],[Antal dyr i Kommunen 2018]]*Tabel1[[#This Row],[Gødning (g) pr. dyr (ton)]]</f>
        <v>0</v>
      </c>
      <c r="O165" s="13">
        <v>4.88</v>
      </c>
      <c r="P165" s="13">
        <v>0.3</v>
      </c>
      <c r="Q165" s="13">
        <v>132</v>
      </c>
      <c r="R165" s="7">
        <v>181</v>
      </c>
      <c r="S165" s="13">
        <f t="shared" si="19"/>
        <v>934.13287561643835</v>
      </c>
      <c r="T165" s="9">
        <f>(O165*1000)/365*P165*0.8*Q165</f>
        <v>423.55726027397259</v>
      </c>
      <c r="U165" s="7">
        <v>17</v>
      </c>
      <c r="V165" s="7">
        <v>0.18</v>
      </c>
      <c r="W165" s="9">
        <f t="shared" si="20"/>
        <v>27.835363166025203</v>
      </c>
      <c r="X165" s="79">
        <f>(Tabel1[[#This Row],[CH4 pr. dyr (Kg)]]*I164)/1000</f>
        <v>0</v>
      </c>
      <c r="Z165" s="8"/>
    </row>
    <row r="166" spans="1:26" hidden="1" x14ac:dyDescent="0.25">
      <c r="A166" s="25" t="s">
        <v>41</v>
      </c>
      <c r="B166" s="78">
        <v>1241</v>
      </c>
      <c r="C166" s="4" t="s">
        <v>62</v>
      </c>
      <c r="D166" s="4" t="s">
        <v>164</v>
      </c>
      <c r="E166" s="4" t="s">
        <v>90</v>
      </c>
      <c r="F166" s="4" t="s">
        <v>29</v>
      </c>
      <c r="G166" s="4">
        <v>124106</v>
      </c>
      <c r="H166" s="4">
        <f>Tabel1[[#This Row],[Stald_kode]]+Tabel1[[#This Row],[Dyr_Kode]]</f>
        <v>125347</v>
      </c>
      <c r="I166" s="12">
        <v>0</v>
      </c>
      <c r="J166" s="4" t="s">
        <v>121</v>
      </c>
      <c r="K166" s="4"/>
      <c r="L166" s="14">
        <v>3.35</v>
      </c>
      <c r="M166" s="14">
        <v>6.9000000000000006E-2</v>
      </c>
      <c r="N166" s="14">
        <f>Tabel1[[#This Row],[Antal dyr i Kommunen 2018]]*Tabel1[[#This Row],[Gødning (g) pr. dyr (ton)]]</f>
        <v>0</v>
      </c>
      <c r="O166" s="15"/>
      <c r="P166" s="14"/>
      <c r="Q166" s="14">
        <v>132</v>
      </c>
      <c r="R166" s="7">
        <v>181</v>
      </c>
      <c r="S166" s="13">
        <f t="shared" si="19"/>
        <v>118.04482191780824</v>
      </c>
      <c r="T166" s="9">
        <f>(L166*1000)/365*M166*0.8*Q166</f>
        <v>66.875178082191795</v>
      </c>
      <c r="U166" s="7">
        <v>12.5</v>
      </c>
      <c r="V166" s="7">
        <v>0.18</v>
      </c>
      <c r="W166" s="9">
        <f t="shared" si="20"/>
        <v>2.7876690000000002</v>
      </c>
      <c r="X166" s="79">
        <f>(W166*I166)/1000</f>
        <v>0</v>
      </c>
      <c r="Z166" s="8"/>
    </row>
    <row r="167" spans="1:26" hidden="1" x14ac:dyDescent="0.25">
      <c r="A167" s="26" t="s">
        <v>41</v>
      </c>
      <c r="B167" s="80"/>
      <c r="C167" s="4" t="s">
        <v>62</v>
      </c>
      <c r="D167" s="4" t="s">
        <v>164</v>
      </c>
      <c r="E167" s="4" t="s">
        <v>90</v>
      </c>
      <c r="F167" s="4" t="s">
        <v>29</v>
      </c>
      <c r="G167" s="4"/>
      <c r="H167" s="4">
        <f>Tabel1[[#This Row],[Stald_kode]]+Tabel1[[#This Row],[Dyr_Kode]]</f>
        <v>0</v>
      </c>
      <c r="I167" s="12"/>
      <c r="J167" s="4"/>
      <c r="K167" s="4" t="s">
        <v>29</v>
      </c>
      <c r="L167" s="15"/>
      <c r="M167" s="15"/>
      <c r="N167" s="14">
        <f>Tabel1[[#This Row],[Antal dyr i Kommunen 2018]]*Tabel1[[#This Row],[Gødning (g) pr. dyr (ton)]]</f>
        <v>0</v>
      </c>
      <c r="O167" s="13">
        <v>4.88</v>
      </c>
      <c r="P167" s="13">
        <v>0.3</v>
      </c>
      <c r="Q167" s="13">
        <v>132</v>
      </c>
      <c r="R167" s="7">
        <v>181</v>
      </c>
      <c r="S167" s="13">
        <f t="shared" si="19"/>
        <v>934.13287561643835</v>
      </c>
      <c r="T167" s="9">
        <f>(O167*1000)/365*P167*0.8*Q167</f>
        <v>423.55726027397259</v>
      </c>
      <c r="U167" s="7">
        <v>17</v>
      </c>
      <c r="V167" s="7">
        <v>0.18</v>
      </c>
      <c r="W167" s="9">
        <f t="shared" si="20"/>
        <v>27.835363166025203</v>
      </c>
      <c r="X167" s="79">
        <f>(Tabel1[[#This Row],[CH4 pr. dyr (Kg)]]*I166)/1000</f>
        <v>0</v>
      </c>
      <c r="Z167" s="8"/>
    </row>
    <row r="168" spans="1:26" hidden="1" x14ac:dyDescent="0.25">
      <c r="A168" s="25" t="s">
        <v>41</v>
      </c>
      <c r="B168" s="78">
        <v>1241</v>
      </c>
      <c r="C168" s="4" t="s">
        <v>62</v>
      </c>
      <c r="D168" s="4" t="s">
        <v>164</v>
      </c>
      <c r="E168" s="4" t="s">
        <v>109</v>
      </c>
      <c r="F168" s="4" t="s">
        <v>156</v>
      </c>
      <c r="G168" s="4">
        <v>124110</v>
      </c>
      <c r="H168" s="4">
        <f>Tabel1[[#This Row],[Stald_kode]]+Tabel1[[#This Row],[Dyr_Kode]]</f>
        <v>125351</v>
      </c>
      <c r="I168" s="12">
        <v>0</v>
      </c>
      <c r="J168" s="4" t="s">
        <v>121</v>
      </c>
      <c r="K168" s="4"/>
      <c r="L168" s="14">
        <v>5.0199999999999996</v>
      </c>
      <c r="M168" s="14">
        <v>0.121</v>
      </c>
      <c r="N168" s="14">
        <f>Tabel1[[#This Row],[Antal dyr i Kommunen 2018]]*Tabel1[[#This Row],[Gødning (g) pr. dyr (ton)]]</f>
        <v>0</v>
      </c>
      <c r="O168" s="15"/>
      <c r="P168" s="14"/>
      <c r="Q168" s="14">
        <v>132</v>
      </c>
      <c r="R168" s="7">
        <v>181</v>
      </c>
      <c r="S168" s="13">
        <f t="shared" si="19"/>
        <v>310.20024109589042</v>
      </c>
      <c r="T168" s="9">
        <f>(L168*1000)/365*M168*0.8*Q168</f>
        <v>175.73575890410959</v>
      </c>
      <c r="U168" s="7">
        <v>12.5</v>
      </c>
      <c r="V168" s="7">
        <v>0.18</v>
      </c>
      <c r="W168" s="9">
        <f t="shared" si="20"/>
        <v>7.3254852000000001</v>
      </c>
      <c r="X168" s="79">
        <f>(W168*I168)/1000</f>
        <v>0</v>
      </c>
      <c r="Z168" s="8"/>
    </row>
    <row r="169" spans="1:26" hidden="1" x14ac:dyDescent="0.25">
      <c r="A169" s="25" t="s">
        <v>41</v>
      </c>
      <c r="B169" s="78">
        <v>1231</v>
      </c>
      <c r="C169" s="4" t="s">
        <v>51</v>
      </c>
      <c r="D169" s="4" t="s">
        <v>165</v>
      </c>
      <c r="E169" s="4" t="s">
        <v>10</v>
      </c>
      <c r="F169" s="4" t="s">
        <v>157</v>
      </c>
      <c r="G169" s="4">
        <v>123101</v>
      </c>
      <c r="H169" s="4">
        <f>Tabel1[[#This Row],[Stald_kode]]+Tabel1[[#This Row],[Dyr_Kode]]</f>
        <v>124332</v>
      </c>
      <c r="I169" s="12">
        <v>0</v>
      </c>
      <c r="J169" s="4" t="s">
        <v>124</v>
      </c>
      <c r="K169" s="4"/>
      <c r="L169" s="14">
        <v>9.84</v>
      </c>
      <c r="M169" s="14">
        <v>0.2</v>
      </c>
      <c r="N169" s="14">
        <f>Tabel1[[#This Row],[Antal dyr i Kommunen 2018]]*Tabel1[[#This Row],[Gødning (g) pr. dyr (ton)]]</f>
        <v>0</v>
      </c>
      <c r="O169" s="15"/>
      <c r="P169" s="14"/>
      <c r="Q169" s="7">
        <v>18</v>
      </c>
      <c r="R169" s="7">
        <v>181</v>
      </c>
      <c r="S169" s="13">
        <f t="shared" si="19"/>
        <v>1496.7583561643839</v>
      </c>
      <c r="T169" s="9">
        <f>(L169*1000)/365*M169*0.8*Q169</f>
        <v>77.641643835616463</v>
      </c>
      <c r="U169" s="7">
        <v>2</v>
      </c>
      <c r="V169" s="7">
        <v>0.24</v>
      </c>
      <c r="W169" s="9">
        <f t="shared" si="20"/>
        <v>5.0632704000000013</v>
      </c>
      <c r="X169" s="79">
        <f>(W169*I169)/1000</f>
        <v>0</v>
      </c>
      <c r="Z169" s="8"/>
    </row>
    <row r="170" spans="1:26" hidden="1" x14ac:dyDescent="0.25">
      <c r="A170" s="26" t="s">
        <v>41</v>
      </c>
      <c r="B170" s="80"/>
      <c r="C170" s="4" t="s">
        <v>51</v>
      </c>
      <c r="D170" s="4" t="s">
        <v>165</v>
      </c>
      <c r="E170" s="4" t="s">
        <v>10</v>
      </c>
      <c r="F170" s="4" t="s">
        <v>157</v>
      </c>
      <c r="G170" s="4"/>
      <c r="H170" s="4">
        <f>Tabel1[[#This Row],[Stald_kode]]+Tabel1[[#This Row],[Dyr_Kode]]</f>
        <v>0</v>
      </c>
      <c r="I170" s="12"/>
      <c r="J170" s="4" t="s">
        <v>127</v>
      </c>
      <c r="K170" s="15"/>
      <c r="L170" s="13">
        <v>12.84</v>
      </c>
      <c r="M170" s="13">
        <v>3.4000000000000002E-2</v>
      </c>
      <c r="N170" s="13">
        <f>Tabel1[[#This Row],[Antal dyr i Kommunen 2018]]*Tabel1[[#This Row],[Gødning (g) pr. dyr (ton)]]</f>
        <v>0</v>
      </c>
      <c r="O170" s="15"/>
      <c r="P170" s="14"/>
      <c r="Q170" s="7">
        <v>18</v>
      </c>
      <c r="R170" s="7">
        <v>181</v>
      </c>
      <c r="S170" s="13">
        <f t="shared" si="19"/>
        <v>332.0248109589042</v>
      </c>
      <c r="T170" s="9">
        <f>(L170*1000)/365*M170*0.8*Q170</f>
        <v>17.223189041095896</v>
      </c>
      <c r="U170" s="7">
        <v>12.5</v>
      </c>
      <c r="V170" s="7">
        <v>0.24</v>
      </c>
      <c r="W170" s="9">
        <f t="shared" si="20"/>
        <v>7.0198848000000025</v>
      </c>
      <c r="X170" s="79">
        <f>(Tabel1[[#This Row],[CH4 pr. dyr (Kg)]]*I169)/1000</f>
        <v>0</v>
      </c>
      <c r="Z170" s="8"/>
    </row>
    <row r="171" spans="1:26" hidden="1" x14ac:dyDescent="0.25">
      <c r="A171" s="25" t="s">
        <v>41</v>
      </c>
      <c r="B171" s="78">
        <v>1231</v>
      </c>
      <c r="C171" s="4" t="s">
        <v>51</v>
      </c>
      <c r="D171" s="4" t="s">
        <v>165</v>
      </c>
      <c r="E171" s="4" t="s">
        <v>11</v>
      </c>
      <c r="F171" s="4" t="s">
        <v>157</v>
      </c>
      <c r="G171" s="4">
        <v>123102</v>
      </c>
      <c r="H171" s="4">
        <f>Tabel1[[#This Row],[Stald_kode]]+Tabel1[[#This Row],[Dyr_Kode]]</f>
        <v>124333</v>
      </c>
      <c r="I171" s="12">
        <v>0</v>
      </c>
      <c r="J171" s="4" t="s">
        <v>121</v>
      </c>
      <c r="K171" s="4"/>
      <c r="L171" s="14">
        <v>26.12</v>
      </c>
      <c r="M171" s="14">
        <v>8.6999999999999994E-2</v>
      </c>
      <c r="N171" s="14">
        <f>Tabel1[[#This Row],[Antal dyr i Kommunen 2018]]*Tabel1[[#This Row],[Gødning (g) pr. dyr (ton)]]</f>
        <v>0</v>
      </c>
      <c r="O171" s="15"/>
      <c r="P171" s="14"/>
      <c r="Q171" s="13">
        <v>18</v>
      </c>
      <c r="R171" s="7">
        <v>181</v>
      </c>
      <c r="S171" s="13">
        <f t="shared" si="19"/>
        <v>1728.2995726027395</v>
      </c>
      <c r="T171" s="9">
        <f>(L171*1000)/365*M171*0.8*Q171</f>
        <v>89.652427397260254</v>
      </c>
      <c r="U171" s="7">
        <v>12.5</v>
      </c>
      <c r="V171" s="7">
        <v>0.24</v>
      </c>
      <c r="W171" s="9">
        <f t="shared" si="20"/>
        <v>36.540835199999997</v>
      </c>
      <c r="X171" s="79">
        <f>(W171*I171)/1000</f>
        <v>0</v>
      </c>
      <c r="Z171" s="8"/>
    </row>
    <row r="172" spans="1:26" hidden="1" x14ac:dyDescent="0.25">
      <c r="A172" s="25" t="s">
        <v>41</v>
      </c>
      <c r="B172" s="78">
        <v>1231</v>
      </c>
      <c r="C172" s="4" t="s">
        <v>51</v>
      </c>
      <c r="D172" s="4" t="s">
        <v>165</v>
      </c>
      <c r="E172" s="4" t="s">
        <v>14</v>
      </c>
      <c r="F172" s="4" t="s">
        <v>29</v>
      </c>
      <c r="G172" s="4">
        <v>123106</v>
      </c>
      <c r="H172" s="4">
        <f>Tabel1[[#This Row],[Stald_kode]]+Tabel1[[#This Row],[Dyr_Kode]]</f>
        <v>124337</v>
      </c>
      <c r="I172" s="12">
        <v>0</v>
      </c>
      <c r="J172" s="15"/>
      <c r="K172" s="4" t="s">
        <v>29</v>
      </c>
      <c r="L172" s="14"/>
      <c r="M172" s="14"/>
      <c r="N172" s="14">
        <f>Tabel1[[#This Row],[Antal dyr i Kommunen 2018]]*Tabel1[[#This Row],[Gødning (g) pr. dyr (ton)]]</f>
        <v>0</v>
      </c>
      <c r="O172" s="14">
        <v>13.39</v>
      </c>
      <c r="P172" s="14">
        <v>0.3</v>
      </c>
      <c r="Q172" s="14">
        <v>132</v>
      </c>
      <c r="R172" s="7">
        <v>181</v>
      </c>
      <c r="S172" s="13">
        <f t="shared" si="19"/>
        <v>2563.1227878082195</v>
      </c>
      <c r="T172" s="9">
        <f>(O172*1000)/365*P172*0.8*Q172</f>
        <v>1162.1786301369864</v>
      </c>
      <c r="U172" s="7">
        <v>17</v>
      </c>
      <c r="V172" s="7">
        <v>0.24</v>
      </c>
      <c r="W172" s="9">
        <f t="shared" si="20"/>
        <v>101.83483956095016</v>
      </c>
      <c r="X172" s="79">
        <f>(W172*I172)/1000</f>
        <v>0</v>
      </c>
      <c r="Z172" s="8"/>
    </row>
    <row r="173" spans="1:26" hidden="1" x14ac:dyDescent="0.25">
      <c r="A173" s="25" t="s">
        <v>41</v>
      </c>
      <c r="B173" s="78">
        <v>1231</v>
      </c>
      <c r="C173" s="4" t="s">
        <v>51</v>
      </c>
      <c r="D173" s="4" t="s">
        <v>165</v>
      </c>
      <c r="E173" s="4" t="s">
        <v>15</v>
      </c>
      <c r="F173" s="4" t="s">
        <v>29</v>
      </c>
      <c r="G173" s="4">
        <v>123107</v>
      </c>
      <c r="H173" s="4">
        <f>Tabel1[[#This Row],[Stald_kode]]+Tabel1[[#This Row],[Dyr_Kode]]</f>
        <v>124338</v>
      </c>
      <c r="I173" s="12">
        <v>0</v>
      </c>
      <c r="J173" s="4" t="s">
        <v>121</v>
      </c>
      <c r="K173" s="4"/>
      <c r="L173" s="14">
        <v>11.46</v>
      </c>
      <c r="M173" s="14">
        <v>6.9000000000000006E-2</v>
      </c>
      <c r="N173" s="14">
        <f>Tabel1[[#This Row],[Antal dyr i Kommunen 2018]]*Tabel1[[#This Row],[Gødning (g) pr. dyr (ton)]]</f>
        <v>0</v>
      </c>
      <c r="O173" s="15"/>
      <c r="P173" s="14"/>
      <c r="Q173" s="14">
        <v>18</v>
      </c>
      <c r="R173" s="7">
        <v>181</v>
      </c>
      <c r="S173" s="13">
        <f t="shared" si="19"/>
        <v>601.39568219178091</v>
      </c>
      <c r="T173" s="9">
        <f>(L173*1000)/365*M173*0.8*Q173</f>
        <v>31.196317808219185</v>
      </c>
      <c r="U173" s="7">
        <v>12.5</v>
      </c>
      <c r="V173" s="7">
        <v>0.24</v>
      </c>
      <c r="W173" s="9">
        <f t="shared" si="20"/>
        <v>12.715099200000001</v>
      </c>
      <c r="X173" s="79">
        <f>(W173*I173)/1000</f>
        <v>0</v>
      </c>
      <c r="Z173" s="8"/>
    </row>
    <row r="174" spans="1:26" hidden="1" x14ac:dyDescent="0.25">
      <c r="A174" s="26" t="s">
        <v>41</v>
      </c>
      <c r="B174" s="80"/>
      <c r="C174" s="4" t="s">
        <v>51</v>
      </c>
      <c r="D174" s="4" t="s">
        <v>165</v>
      </c>
      <c r="E174" s="4" t="s">
        <v>15</v>
      </c>
      <c r="F174" s="4" t="s">
        <v>29</v>
      </c>
      <c r="G174" s="4"/>
      <c r="H174" s="4">
        <f>Tabel1[[#This Row],[Stald_kode]]+Tabel1[[#This Row],[Dyr_Kode]]</f>
        <v>0</v>
      </c>
      <c r="I174" s="12"/>
      <c r="J174" s="4"/>
      <c r="K174" s="4" t="s">
        <v>29</v>
      </c>
      <c r="L174" s="15"/>
      <c r="M174" s="15"/>
      <c r="N174" s="14">
        <f>Tabel1[[#This Row],[Antal dyr i Kommunen 2018]]*Tabel1[[#This Row],[Gødning (g) pr. dyr (ton)]]</f>
        <v>0</v>
      </c>
      <c r="O174" s="14">
        <v>10.220000000000001</v>
      </c>
      <c r="P174" s="14">
        <v>0.28699999999999998</v>
      </c>
      <c r="Q174" s="14">
        <v>18</v>
      </c>
      <c r="R174" s="7">
        <v>181</v>
      </c>
      <c r="S174" s="13">
        <f t="shared" si="19"/>
        <v>2787.2371785999999</v>
      </c>
      <c r="T174" s="9">
        <f>(O174*1000)/365*P174*0.8*Q174</f>
        <v>115.7184</v>
      </c>
      <c r="U174" s="7">
        <v>17</v>
      </c>
      <c r="V174" s="7">
        <v>0.24</v>
      </c>
      <c r="W174" s="9">
        <f t="shared" si="20"/>
        <v>79.355193696609604</v>
      </c>
      <c r="X174" s="79">
        <f>(Tabel1[[#This Row],[CH4 pr. dyr (Kg)]]*I173)/1000</f>
        <v>0</v>
      </c>
      <c r="Z174" s="8"/>
    </row>
    <row r="175" spans="1:26" hidden="1" x14ac:dyDescent="0.25">
      <c r="A175" s="25" t="s">
        <v>41</v>
      </c>
      <c r="B175" s="78">
        <v>1231</v>
      </c>
      <c r="C175" s="4" t="s">
        <v>51</v>
      </c>
      <c r="D175" s="4" t="s">
        <v>165</v>
      </c>
      <c r="E175" s="4" t="s">
        <v>86</v>
      </c>
      <c r="F175" s="4" t="s">
        <v>29</v>
      </c>
      <c r="G175" s="4">
        <v>123109</v>
      </c>
      <c r="H175" s="4">
        <f>Tabel1[[#This Row],[Stald_kode]]+Tabel1[[#This Row],[Dyr_Kode]]</f>
        <v>124340</v>
      </c>
      <c r="I175" s="12">
        <v>0</v>
      </c>
      <c r="J175" s="4" t="s">
        <v>121</v>
      </c>
      <c r="K175" s="4"/>
      <c r="L175" s="14">
        <v>11.46</v>
      </c>
      <c r="M175" s="14">
        <v>6.9000000000000006E-2</v>
      </c>
      <c r="N175" s="14">
        <f>Tabel1[[#This Row],[Antal dyr i Kommunen 2018]]*Tabel1[[#This Row],[Gødning (g) pr. dyr (ton)]]</f>
        <v>0</v>
      </c>
      <c r="O175" s="15"/>
      <c r="P175" s="14"/>
      <c r="Q175" s="14">
        <v>18</v>
      </c>
      <c r="R175" s="7">
        <v>181</v>
      </c>
      <c r="S175" s="13">
        <f t="shared" si="19"/>
        <v>601.39568219178091</v>
      </c>
      <c r="T175" s="9">
        <f>(L175*1000)/365*M175*0.8*Q175</f>
        <v>31.196317808219185</v>
      </c>
      <c r="U175" s="7">
        <v>12.5</v>
      </c>
      <c r="V175" s="7">
        <v>0.24</v>
      </c>
      <c r="W175" s="9">
        <f t="shared" si="20"/>
        <v>12.715099200000001</v>
      </c>
      <c r="X175" s="79">
        <f>(W175*I175)/1000</f>
        <v>0</v>
      </c>
      <c r="Z175" s="8"/>
    </row>
    <row r="176" spans="1:26" hidden="1" x14ac:dyDescent="0.25">
      <c r="A176" s="26" t="s">
        <v>41</v>
      </c>
      <c r="B176" s="80"/>
      <c r="C176" s="4" t="s">
        <v>51</v>
      </c>
      <c r="D176" s="4" t="s">
        <v>165</v>
      </c>
      <c r="E176" s="4" t="s">
        <v>86</v>
      </c>
      <c r="F176" s="4" t="s">
        <v>29</v>
      </c>
      <c r="G176" s="4"/>
      <c r="H176" s="4">
        <f>Tabel1[[#This Row],[Stald_kode]]+Tabel1[[#This Row],[Dyr_Kode]]</f>
        <v>0</v>
      </c>
      <c r="I176" s="12"/>
      <c r="J176" s="4"/>
      <c r="K176" s="4" t="s">
        <v>29</v>
      </c>
      <c r="L176" s="15"/>
      <c r="M176" s="15"/>
      <c r="N176" s="14">
        <f>Tabel1[[#This Row],[Antal dyr i Kommunen 2018]]*Tabel1[[#This Row],[Gødning (g) pr. dyr (ton)]]</f>
        <v>0</v>
      </c>
      <c r="O176" s="13">
        <v>10.220000000000001</v>
      </c>
      <c r="P176" s="13">
        <v>0.28699999999999998</v>
      </c>
      <c r="Q176" s="14">
        <v>18</v>
      </c>
      <c r="R176" s="7">
        <v>181</v>
      </c>
      <c r="S176" s="13">
        <f t="shared" si="19"/>
        <v>2787.2371785999999</v>
      </c>
      <c r="T176" s="9">
        <f>(O176*1000)/365*P176*0.8*Q176</f>
        <v>115.7184</v>
      </c>
      <c r="U176" s="7">
        <v>17</v>
      </c>
      <c r="V176" s="7">
        <v>0.24</v>
      </c>
      <c r="W176" s="9">
        <f t="shared" si="20"/>
        <v>79.355193696609604</v>
      </c>
      <c r="X176" s="79">
        <f>(Tabel1[[#This Row],[CH4 pr. dyr (Kg)]]*I175)/1000</f>
        <v>0</v>
      </c>
      <c r="Z176" s="8"/>
    </row>
    <row r="177" spans="1:26" hidden="1" x14ac:dyDescent="0.25">
      <c r="A177" s="25" t="s">
        <v>41</v>
      </c>
      <c r="B177" s="78">
        <v>1231</v>
      </c>
      <c r="C177" s="4" t="s">
        <v>51</v>
      </c>
      <c r="D177" s="4" t="s">
        <v>165</v>
      </c>
      <c r="E177" s="4" t="s">
        <v>90</v>
      </c>
      <c r="F177" s="4" t="s">
        <v>29</v>
      </c>
      <c r="G177" s="4">
        <v>123108</v>
      </c>
      <c r="H177" s="4">
        <f>Tabel1[[#This Row],[Stald_kode]]+Tabel1[[#This Row],[Dyr_Kode]]</f>
        <v>124339</v>
      </c>
      <c r="I177" s="12">
        <v>0</v>
      </c>
      <c r="J177" s="4" t="s">
        <v>121</v>
      </c>
      <c r="K177" s="4"/>
      <c r="L177" s="14">
        <v>11.46</v>
      </c>
      <c r="M177" s="14">
        <v>6.9000000000000006E-2</v>
      </c>
      <c r="N177" s="14">
        <f>Tabel1[[#This Row],[Antal dyr i Kommunen 2018]]*Tabel1[[#This Row],[Gødning (g) pr. dyr (ton)]]</f>
        <v>0</v>
      </c>
      <c r="O177" s="15"/>
      <c r="P177" s="14"/>
      <c r="Q177" s="14">
        <v>18</v>
      </c>
      <c r="R177" s="7">
        <v>181</v>
      </c>
      <c r="S177" s="13">
        <f t="shared" si="19"/>
        <v>601.39568219178091</v>
      </c>
      <c r="T177" s="9">
        <f>(L177*1000)/365*M177*0.8*Q177</f>
        <v>31.196317808219185</v>
      </c>
      <c r="U177" s="7">
        <v>12.5</v>
      </c>
      <c r="V177" s="7">
        <v>0.24</v>
      </c>
      <c r="W177" s="9">
        <f t="shared" si="20"/>
        <v>12.715099200000001</v>
      </c>
      <c r="X177" s="79">
        <f>(W177*I177)/1000</f>
        <v>0</v>
      </c>
      <c r="Z177" s="8"/>
    </row>
    <row r="178" spans="1:26" hidden="1" x14ac:dyDescent="0.25">
      <c r="A178" s="26" t="s">
        <v>41</v>
      </c>
      <c r="B178" s="80"/>
      <c r="C178" s="4" t="s">
        <v>51</v>
      </c>
      <c r="D178" s="4" t="s">
        <v>165</v>
      </c>
      <c r="E178" s="4" t="s">
        <v>90</v>
      </c>
      <c r="F178" s="4" t="s">
        <v>29</v>
      </c>
      <c r="G178" s="4"/>
      <c r="H178" s="4">
        <f>Tabel1[[#This Row],[Stald_kode]]+Tabel1[[#This Row],[Dyr_Kode]]</f>
        <v>0</v>
      </c>
      <c r="I178" s="12"/>
      <c r="J178" s="4"/>
      <c r="K178" s="4" t="s">
        <v>29</v>
      </c>
      <c r="L178" s="15"/>
      <c r="M178" s="15"/>
      <c r="N178" s="14">
        <f>Tabel1[[#This Row],[Antal dyr i Kommunen 2018]]*Tabel1[[#This Row],[Gødning (g) pr. dyr (ton)]]</f>
        <v>0</v>
      </c>
      <c r="O178" s="13">
        <v>10.220000000000001</v>
      </c>
      <c r="P178" s="13">
        <v>0.28699999999999998</v>
      </c>
      <c r="Q178" s="14">
        <v>18</v>
      </c>
      <c r="R178" s="7">
        <v>181</v>
      </c>
      <c r="S178" s="13">
        <f t="shared" si="19"/>
        <v>2787.2371785999999</v>
      </c>
      <c r="T178" s="9">
        <f>(O178*1000)/365*P178*0.8*Q178</f>
        <v>115.7184</v>
      </c>
      <c r="U178" s="7">
        <v>17</v>
      </c>
      <c r="V178" s="7">
        <v>0.24</v>
      </c>
      <c r="W178" s="9">
        <f t="shared" si="20"/>
        <v>79.355193696609604</v>
      </c>
      <c r="X178" s="79">
        <f>(Tabel1[[#This Row],[CH4 pr. dyr (Kg)]]*I177)/1000</f>
        <v>0</v>
      </c>
      <c r="Z178" s="8"/>
    </row>
    <row r="179" spans="1:26" hidden="1" x14ac:dyDescent="0.25">
      <c r="A179" s="25" t="s">
        <v>41</v>
      </c>
      <c r="B179" s="78">
        <v>1231</v>
      </c>
      <c r="C179" s="4" t="s">
        <v>51</v>
      </c>
      <c r="D179" s="4" t="s">
        <v>165</v>
      </c>
      <c r="E179" s="4" t="s">
        <v>12</v>
      </c>
      <c r="F179" s="4" t="s">
        <v>156</v>
      </c>
      <c r="G179" s="4">
        <v>123103</v>
      </c>
      <c r="H179" s="4">
        <f>Tabel1[[#This Row],[Stald_kode]]+Tabel1[[#This Row],[Dyr_Kode]]</f>
        <v>124334</v>
      </c>
      <c r="I179" s="12">
        <v>0</v>
      </c>
      <c r="J179" s="4" t="s">
        <v>121</v>
      </c>
      <c r="K179" s="4"/>
      <c r="L179" s="14">
        <v>25.95</v>
      </c>
      <c r="M179" s="14">
        <v>0.08</v>
      </c>
      <c r="N179" s="14">
        <f>Tabel1[[#This Row],[Antal dyr i Kommunen 2018]]*Tabel1[[#This Row],[Gødning (g) pr. dyr (ton)]]</f>
        <v>0</v>
      </c>
      <c r="O179" s="15"/>
      <c r="P179" s="14"/>
      <c r="Q179" s="14">
        <v>18</v>
      </c>
      <c r="R179" s="7">
        <v>181</v>
      </c>
      <c r="S179" s="13">
        <f t="shared" si="19"/>
        <v>1578.8975342465756</v>
      </c>
      <c r="T179" s="9">
        <f t="shared" ref="T179:T185" si="21">(L179*1000)/365*M179*0.8*Q179</f>
        <v>81.902465753424664</v>
      </c>
      <c r="U179" s="7">
        <v>12.5</v>
      </c>
      <c r="V179" s="7">
        <v>0.24</v>
      </c>
      <c r="W179" s="9">
        <f t="shared" si="20"/>
        <v>33.382080000000002</v>
      </c>
      <c r="X179" s="79">
        <f>(W179*I179)/1000</f>
        <v>0</v>
      </c>
      <c r="Z179" s="8"/>
    </row>
    <row r="180" spans="1:26" hidden="1" x14ac:dyDescent="0.25">
      <c r="A180" s="25" t="s">
        <v>41</v>
      </c>
      <c r="B180" s="78">
        <v>1231</v>
      </c>
      <c r="C180" s="4" t="s">
        <v>51</v>
      </c>
      <c r="D180" s="4" t="s">
        <v>165</v>
      </c>
      <c r="E180" s="4" t="s">
        <v>77</v>
      </c>
      <c r="F180" s="4" t="s">
        <v>156</v>
      </c>
      <c r="G180" s="4">
        <v>123105</v>
      </c>
      <c r="H180" s="4">
        <f>Tabel1[[#This Row],[Stald_kode]]+Tabel1[[#This Row],[Dyr_Kode]]</f>
        <v>124336</v>
      </c>
      <c r="I180" s="12">
        <v>0</v>
      </c>
      <c r="J180" s="4" t="s">
        <v>121</v>
      </c>
      <c r="K180" s="4"/>
      <c r="L180" s="14">
        <v>25.95</v>
      </c>
      <c r="M180" s="14">
        <v>0.08</v>
      </c>
      <c r="N180" s="14">
        <f>Tabel1[[#This Row],[Antal dyr i Kommunen 2018]]*Tabel1[[#This Row],[Gødning (g) pr. dyr (ton)]]</f>
        <v>0</v>
      </c>
      <c r="O180" s="15"/>
      <c r="P180" s="14"/>
      <c r="Q180" s="14">
        <v>18</v>
      </c>
      <c r="R180" s="7">
        <v>181</v>
      </c>
      <c r="S180" s="13">
        <f t="shared" si="19"/>
        <v>1578.8975342465756</v>
      </c>
      <c r="T180" s="9">
        <f t="shared" si="21"/>
        <v>81.902465753424664</v>
      </c>
      <c r="U180" s="7">
        <v>12.5</v>
      </c>
      <c r="V180" s="7">
        <v>0.24</v>
      </c>
      <c r="W180" s="9">
        <f t="shared" si="20"/>
        <v>33.382080000000002</v>
      </c>
      <c r="X180" s="79">
        <f>(W180*I180)/1000</f>
        <v>0</v>
      </c>
      <c r="Z180" s="8"/>
    </row>
    <row r="181" spans="1:26" hidden="1" x14ac:dyDescent="0.25">
      <c r="A181" s="25" t="s">
        <v>41</v>
      </c>
      <c r="B181" s="78">
        <v>1231</v>
      </c>
      <c r="C181" s="4" t="s">
        <v>51</v>
      </c>
      <c r="D181" s="4" t="s">
        <v>165</v>
      </c>
      <c r="E181" s="4" t="s">
        <v>13</v>
      </c>
      <c r="F181" s="4" t="s">
        <v>156</v>
      </c>
      <c r="G181" s="4">
        <v>123104</v>
      </c>
      <c r="H181" s="4">
        <f>Tabel1[[#This Row],[Stald_kode]]+Tabel1[[#This Row],[Dyr_Kode]]</f>
        <v>124335</v>
      </c>
      <c r="I181" s="12">
        <v>0</v>
      </c>
      <c r="J181" s="4" t="s">
        <v>121</v>
      </c>
      <c r="K181" s="4"/>
      <c r="L181" s="14">
        <v>25.95</v>
      </c>
      <c r="M181" s="14">
        <v>0.08</v>
      </c>
      <c r="N181" s="14">
        <f>Tabel1[[#This Row],[Antal dyr i Kommunen 2018]]*Tabel1[[#This Row],[Gødning (g) pr. dyr (ton)]]</f>
        <v>0</v>
      </c>
      <c r="O181" s="15"/>
      <c r="P181" s="14"/>
      <c r="Q181" s="14">
        <v>18</v>
      </c>
      <c r="R181" s="7">
        <v>181</v>
      </c>
      <c r="S181" s="13">
        <f t="shared" si="19"/>
        <v>1578.8975342465756</v>
      </c>
      <c r="T181" s="9">
        <f t="shared" si="21"/>
        <v>81.902465753424664</v>
      </c>
      <c r="U181" s="7">
        <v>12.5</v>
      </c>
      <c r="V181" s="7">
        <v>0.24</v>
      </c>
      <c r="W181" s="9">
        <f t="shared" si="20"/>
        <v>33.382080000000002</v>
      </c>
      <c r="X181" s="79">
        <f>(W181*I181)/1000</f>
        <v>0</v>
      </c>
      <c r="Z181" s="8"/>
    </row>
    <row r="182" spans="1:26" hidden="1" x14ac:dyDescent="0.25">
      <c r="A182" s="24" t="s">
        <v>41</v>
      </c>
      <c r="B182" s="4">
        <v>1231</v>
      </c>
      <c r="C182" s="4" t="s">
        <v>51</v>
      </c>
      <c r="D182" s="4" t="s">
        <v>165</v>
      </c>
      <c r="E182" s="4" t="s">
        <v>82</v>
      </c>
      <c r="F182" s="4" t="s">
        <v>156</v>
      </c>
      <c r="G182" s="4">
        <v>123114</v>
      </c>
      <c r="H182" s="4">
        <f>Tabel1[[#This Row],[Stald_kode]]+Tabel1[[#This Row],[Dyr_Kode]]</f>
        <v>124345</v>
      </c>
      <c r="I182" s="12">
        <v>0</v>
      </c>
      <c r="J182" s="4" t="s">
        <v>121</v>
      </c>
      <c r="K182" s="4"/>
      <c r="L182" s="14">
        <v>25.62</v>
      </c>
      <c r="M182" s="14">
        <v>0.08</v>
      </c>
      <c r="N182" s="14">
        <f>Tabel1[[#This Row],[Antal dyr i Kommunen 2018]]*Tabel1[[#This Row],[Gødning (g) pr. dyr (ton)]]</f>
        <v>0</v>
      </c>
      <c r="O182" s="15"/>
      <c r="P182" s="14"/>
      <c r="Q182" s="14">
        <v>18</v>
      </c>
      <c r="R182" s="14">
        <v>181</v>
      </c>
      <c r="S182" s="13">
        <f t="shared" si="19"/>
        <v>1558.8190684931506</v>
      </c>
      <c r="T182" s="13">
        <f t="shared" si="21"/>
        <v>80.860931506849312</v>
      </c>
      <c r="U182" s="14">
        <v>12.5</v>
      </c>
      <c r="V182" s="14">
        <v>0.24</v>
      </c>
      <c r="W182" s="13">
        <f t="shared" si="20"/>
        <v>32.957567999999995</v>
      </c>
      <c r="X182" s="79">
        <f>(W182*I182)/1000</f>
        <v>0</v>
      </c>
      <c r="Z182" s="8"/>
    </row>
    <row r="183" spans="1:26" hidden="1" x14ac:dyDescent="0.25">
      <c r="A183" s="25" t="s">
        <v>41</v>
      </c>
      <c r="B183" s="78">
        <v>1201</v>
      </c>
      <c r="C183" s="4" t="s">
        <v>46</v>
      </c>
      <c r="D183" s="4" t="s">
        <v>165</v>
      </c>
      <c r="E183" s="4" t="s">
        <v>10</v>
      </c>
      <c r="F183" s="4" t="s">
        <v>157</v>
      </c>
      <c r="G183" s="4">
        <v>120101</v>
      </c>
      <c r="H183" s="4">
        <f>Tabel1[[#This Row],[Stald_kode]]+Tabel1[[#This Row],[Dyr_Kode]]</f>
        <v>121302</v>
      </c>
      <c r="I183" s="12">
        <v>0</v>
      </c>
      <c r="J183" s="4" t="s">
        <v>124</v>
      </c>
      <c r="K183" s="4"/>
      <c r="L183" s="14">
        <v>11.94</v>
      </c>
      <c r="M183" s="14">
        <v>0.2</v>
      </c>
      <c r="N183" s="14">
        <f>Tabel1[[#This Row],[Antal dyr i Kommunen 2018]]*Tabel1[[#This Row],[Gødning (g) pr. dyr (ton)]]</f>
        <v>0</v>
      </c>
      <c r="O183" s="15"/>
      <c r="P183" s="14"/>
      <c r="Q183" s="14">
        <v>18</v>
      </c>
      <c r="R183" s="7">
        <v>181</v>
      </c>
      <c r="S183" s="13">
        <f t="shared" si="19"/>
        <v>1816.1884931506852</v>
      </c>
      <c r="T183" s="9">
        <f t="shared" si="21"/>
        <v>94.211506849315072</v>
      </c>
      <c r="U183" s="7">
        <v>2</v>
      </c>
      <c r="V183" s="7">
        <v>0.24</v>
      </c>
      <c r="W183" s="9">
        <f t="shared" si="20"/>
        <v>6.1438464000000002</v>
      </c>
      <c r="X183" s="79">
        <f>(W183*I183)/1000</f>
        <v>0</v>
      </c>
      <c r="Z183" s="8"/>
    </row>
    <row r="184" spans="1:26" hidden="1" x14ac:dyDescent="0.25">
      <c r="A184" s="26" t="s">
        <v>41</v>
      </c>
      <c r="B184" s="80"/>
      <c r="C184" s="4" t="s">
        <v>46</v>
      </c>
      <c r="D184" s="4" t="s">
        <v>165</v>
      </c>
      <c r="E184" s="4" t="s">
        <v>10</v>
      </c>
      <c r="F184" s="4" t="s">
        <v>157</v>
      </c>
      <c r="G184" s="4"/>
      <c r="H184" s="4">
        <f>Tabel1[[#This Row],[Stald_kode]]+Tabel1[[#This Row],[Dyr_Kode]]</f>
        <v>0</v>
      </c>
      <c r="I184" s="12"/>
      <c r="J184" s="4" t="s">
        <v>127</v>
      </c>
      <c r="K184" s="15"/>
      <c r="L184" s="13">
        <v>15.64</v>
      </c>
      <c r="M184" s="13">
        <v>3.4000000000000002E-2</v>
      </c>
      <c r="N184" s="13">
        <f>Tabel1[[#This Row],[Antal dyr i Kommunen 2018]]*Tabel1[[#This Row],[Gødning (g) pr. dyr (ton)]]</f>
        <v>0</v>
      </c>
      <c r="O184" s="14"/>
      <c r="P184" s="14"/>
      <c r="Q184" s="14">
        <v>18</v>
      </c>
      <c r="R184" s="7">
        <v>181</v>
      </c>
      <c r="S184" s="13">
        <f t="shared" si="19"/>
        <v>404.42897534246578</v>
      </c>
      <c r="T184" s="9">
        <f t="shared" si="21"/>
        <v>20.979024657534247</v>
      </c>
      <c r="U184" s="7">
        <v>12.5</v>
      </c>
      <c r="V184" s="7">
        <v>0.24</v>
      </c>
      <c r="W184" s="9">
        <f t="shared" si="20"/>
        <v>8.5507008000000013</v>
      </c>
      <c r="X184" s="79">
        <f>(Tabel1[[#This Row],[CH4 pr. dyr (Kg)]]*I183)/1000</f>
        <v>0</v>
      </c>
      <c r="Z184" s="8"/>
    </row>
    <row r="185" spans="1:26" hidden="1" x14ac:dyDescent="0.25">
      <c r="A185" s="25" t="s">
        <v>41</v>
      </c>
      <c r="B185" s="78">
        <v>1201</v>
      </c>
      <c r="C185" s="4" t="s">
        <v>46</v>
      </c>
      <c r="D185" s="4" t="s">
        <v>165</v>
      </c>
      <c r="E185" s="4" t="s">
        <v>11</v>
      </c>
      <c r="F185" s="4" t="s">
        <v>157</v>
      </c>
      <c r="G185" s="4">
        <v>120102</v>
      </c>
      <c r="H185" s="4">
        <f>Tabel1[[#This Row],[Stald_kode]]+Tabel1[[#This Row],[Dyr_Kode]]</f>
        <v>121303</v>
      </c>
      <c r="I185" s="12">
        <v>0</v>
      </c>
      <c r="J185" s="4" t="s">
        <v>121</v>
      </c>
      <c r="K185" s="4"/>
      <c r="L185" s="14">
        <v>31.71</v>
      </c>
      <c r="M185" s="14">
        <v>8.6999999999999994E-2</v>
      </c>
      <c r="N185" s="14">
        <f>Tabel1[[#This Row],[Antal dyr i Kommunen 2018]]*Tabel1[[#This Row],[Gødning (g) pr. dyr (ton)]]</f>
        <v>0</v>
      </c>
      <c r="O185" s="15"/>
      <c r="P185" s="14"/>
      <c r="Q185" s="14">
        <v>18</v>
      </c>
      <c r="R185" s="7">
        <v>181</v>
      </c>
      <c r="S185" s="13">
        <f t="shared" si="19"/>
        <v>2098.1768547945208</v>
      </c>
      <c r="T185" s="9">
        <f t="shared" si="21"/>
        <v>108.83914520547947</v>
      </c>
      <c r="U185" s="7">
        <v>12.5</v>
      </c>
      <c r="V185" s="7">
        <v>0.24</v>
      </c>
      <c r="W185" s="9">
        <f t="shared" si="20"/>
        <v>44.361021600000001</v>
      </c>
      <c r="X185" s="79">
        <f>(W185*I185)/1000</f>
        <v>0</v>
      </c>
      <c r="Z185" s="8"/>
    </row>
    <row r="186" spans="1:26" hidden="1" x14ac:dyDescent="0.25">
      <c r="A186" s="25" t="s">
        <v>41</v>
      </c>
      <c r="B186" s="78">
        <v>1201</v>
      </c>
      <c r="C186" s="4" t="s">
        <v>46</v>
      </c>
      <c r="D186" s="4" t="s">
        <v>165</v>
      </c>
      <c r="E186" s="4" t="s">
        <v>14</v>
      </c>
      <c r="F186" s="4" t="s">
        <v>29</v>
      </c>
      <c r="G186" s="4">
        <v>120106</v>
      </c>
      <c r="H186" s="4">
        <f>Tabel1[[#This Row],[Stald_kode]]+Tabel1[[#This Row],[Dyr_Kode]]</f>
        <v>121307</v>
      </c>
      <c r="I186" s="12">
        <v>0</v>
      </c>
      <c r="J186" s="15"/>
      <c r="K186" s="4" t="s">
        <v>29</v>
      </c>
      <c r="L186" s="14"/>
      <c r="M186" s="14"/>
      <c r="N186" s="14">
        <f>Tabel1[[#This Row],[Antal dyr i Kommunen 2018]]*Tabel1[[#This Row],[Gødning (g) pr. dyr (ton)]]</f>
        <v>0</v>
      </c>
      <c r="O186" s="14">
        <v>16.14</v>
      </c>
      <c r="P186" s="14">
        <v>0.28699999999999998</v>
      </c>
      <c r="Q186" s="14">
        <v>18</v>
      </c>
      <c r="R186" s="7">
        <v>181</v>
      </c>
      <c r="S186" s="13">
        <f t="shared" si="19"/>
        <v>4401.7620413506847</v>
      </c>
      <c r="T186" s="9">
        <f>(O186*1000)/365*P186*0.8*Q186</f>
        <v>182.74901917808219</v>
      </c>
      <c r="U186" s="7">
        <v>17</v>
      </c>
      <c r="V186" s="7">
        <v>0.24</v>
      </c>
      <c r="W186" s="9">
        <f t="shared" si="20"/>
        <v>125.32219435061438</v>
      </c>
      <c r="X186" s="79">
        <f>(W186*I186)/1000</f>
        <v>0</v>
      </c>
      <c r="Z186" s="8"/>
    </row>
    <row r="187" spans="1:26" hidden="1" x14ac:dyDescent="0.25">
      <c r="A187" s="25" t="s">
        <v>41</v>
      </c>
      <c r="B187" s="78">
        <v>1201</v>
      </c>
      <c r="C187" s="4" t="s">
        <v>46</v>
      </c>
      <c r="D187" s="4" t="s">
        <v>165</v>
      </c>
      <c r="E187" s="4" t="s">
        <v>15</v>
      </c>
      <c r="F187" s="4" t="s">
        <v>29</v>
      </c>
      <c r="G187" s="4">
        <v>120107</v>
      </c>
      <c r="H187" s="4">
        <f>Tabel1[[#This Row],[Stald_kode]]+Tabel1[[#This Row],[Dyr_Kode]]</f>
        <v>121308</v>
      </c>
      <c r="I187" s="12">
        <v>0</v>
      </c>
      <c r="J187" s="4" t="s">
        <v>121</v>
      </c>
      <c r="K187" s="4"/>
      <c r="L187" s="14">
        <v>13.94</v>
      </c>
      <c r="M187" s="14">
        <v>6.9000000000000006E-2</v>
      </c>
      <c r="N187" s="14">
        <f>Tabel1[[#This Row],[Antal dyr i Kommunen 2018]]*Tabel1[[#This Row],[Gødning (g) pr. dyr (ton)]]</f>
        <v>0</v>
      </c>
      <c r="O187" s="15"/>
      <c r="P187" s="14"/>
      <c r="Q187" s="14">
        <v>18</v>
      </c>
      <c r="R187" s="7">
        <v>181</v>
      </c>
      <c r="S187" s="13">
        <f t="shared" si="19"/>
        <v>731.54064657534263</v>
      </c>
      <c r="T187" s="9">
        <f>(L187*1000)/365*M187*0.8*Q187</f>
        <v>37.947353424657543</v>
      </c>
      <c r="U187" s="7">
        <v>12.5</v>
      </c>
      <c r="V187" s="7">
        <v>0.24</v>
      </c>
      <c r="W187" s="9">
        <f t="shared" si="20"/>
        <v>15.466708800000005</v>
      </c>
      <c r="X187" s="79">
        <f>(W187*I187)/1000</f>
        <v>0</v>
      </c>
      <c r="Z187" s="8"/>
    </row>
    <row r="188" spans="1:26" hidden="1" x14ac:dyDescent="0.25">
      <c r="A188" s="26" t="s">
        <v>41</v>
      </c>
      <c r="B188" s="80"/>
      <c r="C188" s="4" t="s">
        <v>46</v>
      </c>
      <c r="D188" s="4" t="s">
        <v>165</v>
      </c>
      <c r="E188" s="4" t="s">
        <v>15</v>
      </c>
      <c r="F188" s="4" t="s">
        <v>29</v>
      </c>
      <c r="G188" s="4"/>
      <c r="H188" s="4">
        <f>Tabel1[[#This Row],[Stald_kode]]+Tabel1[[#This Row],[Dyr_Kode]]</f>
        <v>0</v>
      </c>
      <c r="I188" s="12"/>
      <c r="J188" s="4"/>
      <c r="K188" s="4" t="s">
        <v>29</v>
      </c>
      <c r="L188" s="15"/>
      <c r="M188" s="15"/>
      <c r="N188" s="14">
        <f>Tabel1[[#This Row],[Antal dyr i Kommunen 2018]]*Tabel1[[#This Row],[Gødning (g) pr. dyr (ton)]]</f>
        <v>0</v>
      </c>
      <c r="O188" s="14">
        <v>12.67</v>
      </c>
      <c r="P188" s="14">
        <v>0.28699999999999998</v>
      </c>
      <c r="Q188" s="14">
        <v>18</v>
      </c>
      <c r="R188" s="7">
        <v>181</v>
      </c>
      <c r="S188" s="13">
        <f t="shared" si="19"/>
        <v>3455.4104748397262</v>
      </c>
      <c r="T188" s="9">
        <f>(O188*1000)/365*P188*0.8*Q188</f>
        <v>143.45911232876713</v>
      </c>
      <c r="U188" s="7">
        <v>17</v>
      </c>
      <c r="V188" s="7">
        <v>0.24</v>
      </c>
      <c r="W188" s="9">
        <f t="shared" si="20"/>
        <v>98.378699034837936</v>
      </c>
      <c r="X188" s="79">
        <f>(Tabel1[[#This Row],[CH4 pr. dyr (Kg)]]*I187)/1000</f>
        <v>0</v>
      </c>
      <c r="Z188" s="8"/>
    </row>
    <row r="189" spans="1:26" hidden="1" x14ac:dyDescent="0.25">
      <c r="A189" s="25" t="s">
        <v>41</v>
      </c>
      <c r="B189" s="78">
        <v>1201</v>
      </c>
      <c r="C189" s="4" t="s">
        <v>46</v>
      </c>
      <c r="D189" s="4" t="s">
        <v>165</v>
      </c>
      <c r="E189" s="4" t="s">
        <v>86</v>
      </c>
      <c r="F189" s="4" t="s">
        <v>29</v>
      </c>
      <c r="G189" s="4">
        <v>120109</v>
      </c>
      <c r="H189" s="4">
        <f>Tabel1[[#This Row],[Stald_kode]]+Tabel1[[#This Row],[Dyr_Kode]]</f>
        <v>121310</v>
      </c>
      <c r="I189" s="12">
        <v>0</v>
      </c>
      <c r="J189" s="4" t="s">
        <v>121</v>
      </c>
      <c r="K189" s="4"/>
      <c r="L189" s="14">
        <v>13.94</v>
      </c>
      <c r="M189" s="14">
        <v>6.9000000000000006E-2</v>
      </c>
      <c r="N189" s="14">
        <f>Tabel1[[#This Row],[Antal dyr i Kommunen 2018]]*Tabel1[[#This Row],[Gødning (g) pr. dyr (ton)]]</f>
        <v>0</v>
      </c>
      <c r="O189" s="15"/>
      <c r="P189" s="14"/>
      <c r="Q189" s="14">
        <v>18</v>
      </c>
      <c r="R189" s="7">
        <v>181</v>
      </c>
      <c r="S189" s="13">
        <f t="shared" si="19"/>
        <v>731.54064657534263</v>
      </c>
      <c r="T189" s="9">
        <f>(L189*1000)/365*M189*0.8*Q189</f>
        <v>37.947353424657543</v>
      </c>
      <c r="U189" s="7">
        <v>12.5</v>
      </c>
      <c r="V189" s="7">
        <v>0.24</v>
      </c>
      <c r="W189" s="9">
        <f t="shared" si="20"/>
        <v>15.466708800000005</v>
      </c>
      <c r="X189" s="79">
        <f>(W189*I189)/1000</f>
        <v>0</v>
      </c>
      <c r="Z189" s="8"/>
    </row>
    <row r="190" spans="1:26" hidden="1" x14ac:dyDescent="0.25">
      <c r="A190" s="26" t="s">
        <v>41</v>
      </c>
      <c r="B190" s="80"/>
      <c r="C190" s="4" t="s">
        <v>46</v>
      </c>
      <c r="D190" s="4" t="s">
        <v>165</v>
      </c>
      <c r="E190" s="4" t="s">
        <v>86</v>
      </c>
      <c r="F190" s="4" t="s">
        <v>29</v>
      </c>
      <c r="G190" s="4"/>
      <c r="H190" s="4">
        <f>Tabel1[[#This Row],[Stald_kode]]+Tabel1[[#This Row],[Dyr_Kode]]</f>
        <v>0</v>
      </c>
      <c r="I190" s="12"/>
      <c r="J190" s="4"/>
      <c r="K190" s="4" t="s">
        <v>29</v>
      </c>
      <c r="L190" s="15"/>
      <c r="M190" s="15"/>
      <c r="N190" s="14">
        <f>Tabel1[[#This Row],[Antal dyr i Kommunen 2018]]*Tabel1[[#This Row],[Gødning (g) pr. dyr (ton)]]</f>
        <v>0</v>
      </c>
      <c r="O190" s="13">
        <v>12.67</v>
      </c>
      <c r="P190" s="13">
        <v>0.28699999999999998</v>
      </c>
      <c r="Q190" s="14">
        <v>18</v>
      </c>
      <c r="R190" s="7">
        <v>181</v>
      </c>
      <c r="S190" s="13">
        <f t="shared" si="19"/>
        <v>3455.4104748397262</v>
      </c>
      <c r="T190" s="9">
        <f>(O190*1000)/365*P190*0.8*Q190</f>
        <v>143.45911232876713</v>
      </c>
      <c r="U190" s="7">
        <v>17</v>
      </c>
      <c r="V190" s="7">
        <v>0.24</v>
      </c>
      <c r="W190" s="9">
        <f t="shared" si="20"/>
        <v>98.378699034837936</v>
      </c>
      <c r="X190" s="79">
        <f>(Tabel1[[#This Row],[CH4 pr. dyr (Kg)]]*I189)/1000</f>
        <v>0</v>
      </c>
      <c r="Z190" s="8"/>
    </row>
    <row r="191" spans="1:26" hidden="1" x14ac:dyDescent="0.25">
      <c r="A191" s="25" t="s">
        <v>41</v>
      </c>
      <c r="B191" s="78">
        <v>1201</v>
      </c>
      <c r="C191" s="4" t="s">
        <v>46</v>
      </c>
      <c r="D191" s="4" t="s">
        <v>165</v>
      </c>
      <c r="E191" s="4" t="s">
        <v>90</v>
      </c>
      <c r="F191" s="4" t="s">
        <v>29</v>
      </c>
      <c r="G191" s="4">
        <v>120108</v>
      </c>
      <c r="H191" s="4">
        <f>Tabel1[[#This Row],[Stald_kode]]+Tabel1[[#This Row],[Dyr_Kode]]</f>
        <v>121309</v>
      </c>
      <c r="I191" s="12">
        <v>0</v>
      </c>
      <c r="J191" s="4" t="s">
        <v>121</v>
      </c>
      <c r="K191" s="4"/>
      <c r="L191" s="14">
        <v>13.94</v>
      </c>
      <c r="M191" s="14">
        <v>6.9000000000000006E-2</v>
      </c>
      <c r="N191" s="14">
        <f>Tabel1[[#This Row],[Antal dyr i Kommunen 2018]]*Tabel1[[#This Row],[Gødning (g) pr. dyr (ton)]]</f>
        <v>0</v>
      </c>
      <c r="O191" s="15"/>
      <c r="P191" s="14"/>
      <c r="Q191" s="14">
        <v>18</v>
      </c>
      <c r="R191" s="7">
        <v>181</v>
      </c>
      <c r="S191" s="13">
        <f t="shared" si="19"/>
        <v>731.54064657534263</v>
      </c>
      <c r="T191" s="9">
        <f>(L191*1000)/365*M191*0.8*Q191</f>
        <v>37.947353424657543</v>
      </c>
      <c r="U191" s="7">
        <v>12.5</v>
      </c>
      <c r="V191" s="7">
        <v>0.24</v>
      </c>
      <c r="W191" s="9">
        <f t="shared" si="20"/>
        <v>15.466708800000005</v>
      </c>
      <c r="X191" s="79">
        <f>(W191*I191)/1000</f>
        <v>0</v>
      </c>
      <c r="Z191" s="8"/>
    </row>
    <row r="192" spans="1:26" hidden="1" x14ac:dyDescent="0.25">
      <c r="A192" s="26" t="s">
        <v>41</v>
      </c>
      <c r="B192" s="80"/>
      <c r="C192" s="4" t="s">
        <v>46</v>
      </c>
      <c r="D192" s="4" t="s">
        <v>165</v>
      </c>
      <c r="E192" s="4" t="s">
        <v>90</v>
      </c>
      <c r="F192" s="4" t="s">
        <v>29</v>
      </c>
      <c r="G192" s="4"/>
      <c r="H192" s="4">
        <f>Tabel1[[#This Row],[Stald_kode]]+Tabel1[[#This Row],[Dyr_Kode]]</f>
        <v>0</v>
      </c>
      <c r="I192" s="12"/>
      <c r="J192" s="4"/>
      <c r="K192" s="4" t="s">
        <v>29</v>
      </c>
      <c r="L192" s="15"/>
      <c r="M192" s="15"/>
      <c r="N192" s="14">
        <f>Tabel1[[#This Row],[Antal dyr i Kommunen 2018]]*Tabel1[[#This Row],[Gødning (g) pr. dyr (ton)]]</f>
        <v>0</v>
      </c>
      <c r="O192" s="13">
        <v>12.67</v>
      </c>
      <c r="P192" s="13">
        <v>0.28699999999999998</v>
      </c>
      <c r="Q192" s="14">
        <v>18</v>
      </c>
      <c r="R192" s="7">
        <v>181</v>
      </c>
      <c r="S192" s="13">
        <f t="shared" si="19"/>
        <v>3455.4104748397262</v>
      </c>
      <c r="T192" s="9">
        <f>(O192*1000)/365*P192*0.8*Q192</f>
        <v>143.45911232876713</v>
      </c>
      <c r="U192" s="7">
        <v>17</v>
      </c>
      <c r="V192" s="7">
        <v>0.24</v>
      </c>
      <c r="W192" s="9">
        <f t="shared" si="20"/>
        <v>98.378699034837936</v>
      </c>
      <c r="X192" s="79">
        <f>(Tabel1[[#This Row],[CH4 pr. dyr (Kg)]]*I191)/1000</f>
        <v>0</v>
      </c>
      <c r="Z192" s="8"/>
    </row>
    <row r="193" spans="1:26" hidden="1" x14ac:dyDescent="0.25">
      <c r="A193" s="24" t="s">
        <v>41</v>
      </c>
      <c r="B193" s="4">
        <v>1201</v>
      </c>
      <c r="C193" s="4" t="s">
        <v>46</v>
      </c>
      <c r="D193" s="4" t="s">
        <v>165</v>
      </c>
      <c r="E193" s="4" t="s">
        <v>115</v>
      </c>
      <c r="F193" s="4" t="s">
        <v>29</v>
      </c>
      <c r="G193" s="4">
        <v>120115</v>
      </c>
      <c r="H193" s="4">
        <f>Tabel1[[#This Row],[Stald_kode]]+Tabel1[[#This Row],[Dyr_Kode]]</f>
        <v>121316</v>
      </c>
      <c r="I193" s="12">
        <v>0</v>
      </c>
      <c r="J193" s="4" t="s">
        <v>121</v>
      </c>
      <c r="K193" s="4"/>
      <c r="L193" s="14">
        <v>13.83</v>
      </c>
      <c r="M193" s="14">
        <v>6.9000000000000006E-2</v>
      </c>
      <c r="N193" s="14">
        <f>Tabel1[[#This Row],[Antal dyr i Kommunen 2018]]*Tabel1[[#This Row],[Gødning (g) pr. dyr (ton)]]</f>
        <v>0</v>
      </c>
      <c r="O193" s="15"/>
      <c r="P193" s="14"/>
      <c r="Q193" s="13">
        <v>18</v>
      </c>
      <c r="R193" s="14">
        <v>181</v>
      </c>
      <c r="S193" s="13">
        <f t="shared" si="19"/>
        <v>725.76808767123305</v>
      </c>
      <c r="T193" s="13">
        <f t="shared" ref="T193:T200" si="22">(L193*1000)/365*M193*0.8*Q193</f>
        <v>37.647912328767134</v>
      </c>
      <c r="U193" s="14">
        <v>4.5999999999999996</v>
      </c>
      <c r="V193" s="14">
        <v>0.24</v>
      </c>
      <c r="W193" s="13">
        <f t="shared" si="20"/>
        <v>5.6468354688000018</v>
      </c>
      <c r="X193" s="79">
        <f t="shared" ref="X193:X198" si="23">(W193*I193)/1000</f>
        <v>0</v>
      </c>
      <c r="Z193" s="8"/>
    </row>
    <row r="194" spans="1:26" hidden="1" x14ac:dyDescent="0.25">
      <c r="A194" s="24" t="s">
        <v>41</v>
      </c>
      <c r="B194" s="4">
        <v>1201</v>
      </c>
      <c r="C194" s="4" t="s">
        <v>46</v>
      </c>
      <c r="D194" s="4" t="s">
        <v>165</v>
      </c>
      <c r="E194" s="4" t="s">
        <v>12</v>
      </c>
      <c r="F194" s="4" t="s">
        <v>156</v>
      </c>
      <c r="G194" s="4">
        <v>120103</v>
      </c>
      <c r="H194" s="4">
        <f>Tabel1[[#This Row],[Stald_kode]]+Tabel1[[#This Row],[Dyr_Kode]]</f>
        <v>121304</v>
      </c>
      <c r="I194" s="12">
        <v>0</v>
      </c>
      <c r="J194" s="4" t="s">
        <v>121</v>
      </c>
      <c r="K194" s="4"/>
      <c r="L194" s="14">
        <v>31.7</v>
      </c>
      <c r="M194" s="14">
        <v>0.08</v>
      </c>
      <c r="N194" s="14">
        <f>Tabel1[[#This Row],[Antal dyr i Kommunen 2018]]*Tabel1[[#This Row],[Gødning (g) pr. dyr (ton)]]</f>
        <v>0</v>
      </c>
      <c r="O194" s="15"/>
      <c r="P194" s="14"/>
      <c r="Q194" s="14">
        <v>18</v>
      </c>
      <c r="R194" s="7">
        <v>181</v>
      </c>
      <c r="S194" s="13">
        <f t="shared" si="19"/>
        <v>1928.7495890410964</v>
      </c>
      <c r="T194" s="9">
        <f t="shared" si="22"/>
        <v>100.05041095890412</v>
      </c>
      <c r="U194" s="7">
        <v>12.5</v>
      </c>
      <c r="V194" s="7">
        <v>0.24</v>
      </c>
      <c r="W194" s="9">
        <f t="shared" si="20"/>
        <v>40.778880000000015</v>
      </c>
      <c r="X194" s="79">
        <f t="shared" si="23"/>
        <v>0</v>
      </c>
      <c r="Z194" s="8"/>
    </row>
    <row r="195" spans="1:26" hidden="1" x14ac:dyDescent="0.25">
      <c r="A195" s="24" t="s">
        <v>41</v>
      </c>
      <c r="B195" s="4">
        <v>1201</v>
      </c>
      <c r="C195" s="4" t="s">
        <v>46</v>
      </c>
      <c r="D195" s="4" t="s">
        <v>165</v>
      </c>
      <c r="E195" s="4" t="s">
        <v>77</v>
      </c>
      <c r="F195" s="4" t="s">
        <v>156</v>
      </c>
      <c r="G195" s="4">
        <v>120105</v>
      </c>
      <c r="H195" s="4">
        <f>Tabel1[[#This Row],[Stald_kode]]+Tabel1[[#This Row],[Dyr_Kode]]</f>
        <v>121306</v>
      </c>
      <c r="I195" s="12">
        <v>188.07</v>
      </c>
      <c r="J195" s="4" t="s">
        <v>121</v>
      </c>
      <c r="K195" s="4"/>
      <c r="L195" s="14">
        <v>31.7</v>
      </c>
      <c r="M195" s="14">
        <v>0.08</v>
      </c>
      <c r="N195" s="14">
        <f>Tabel1[[#This Row],[Antal dyr i Kommunen 2018]]*Tabel1[[#This Row],[Gødning (g) pr. dyr (ton)]]</f>
        <v>5961.8189999999995</v>
      </c>
      <c r="O195" s="15"/>
      <c r="P195" s="14"/>
      <c r="Q195" s="14">
        <v>18</v>
      </c>
      <c r="R195" s="7">
        <v>181</v>
      </c>
      <c r="S195" s="13">
        <f t="shared" si="19"/>
        <v>1928.7495890410964</v>
      </c>
      <c r="T195" s="9">
        <f t="shared" si="22"/>
        <v>100.05041095890412</v>
      </c>
      <c r="U195" s="7">
        <v>12.5</v>
      </c>
      <c r="V195" s="7">
        <v>0.24</v>
      </c>
      <c r="W195" s="9">
        <f t="shared" si="20"/>
        <v>40.778880000000015</v>
      </c>
      <c r="X195" s="79">
        <f t="shared" si="23"/>
        <v>7.6692839616000033</v>
      </c>
      <c r="Z195" s="8"/>
    </row>
    <row r="196" spans="1:26" hidden="1" x14ac:dyDescent="0.25">
      <c r="A196" s="24" t="s">
        <v>41</v>
      </c>
      <c r="B196" s="4">
        <v>1201</v>
      </c>
      <c r="C196" s="4" t="s">
        <v>46</v>
      </c>
      <c r="D196" s="4" t="s">
        <v>165</v>
      </c>
      <c r="E196" s="4" t="s">
        <v>13</v>
      </c>
      <c r="F196" s="4" t="s">
        <v>156</v>
      </c>
      <c r="G196" s="4">
        <v>120104</v>
      </c>
      <c r="H196" s="4">
        <f>Tabel1[[#This Row],[Stald_kode]]+Tabel1[[#This Row],[Dyr_Kode]]</f>
        <v>121305</v>
      </c>
      <c r="I196" s="12">
        <v>0</v>
      </c>
      <c r="J196" s="4" t="s">
        <v>121</v>
      </c>
      <c r="K196" s="4"/>
      <c r="L196" s="14">
        <v>31.7</v>
      </c>
      <c r="M196" s="14">
        <v>0.08</v>
      </c>
      <c r="N196" s="14">
        <f>Tabel1[[#This Row],[Antal dyr i Kommunen 2018]]*Tabel1[[#This Row],[Gødning (g) pr. dyr (ton)]]</f>
        <v>0</v>
      </c>
      <c r="O196" s="15"/>
      <c r="P196" s="14"/>
      <c r="Q196" s="14">
        <v>18</v>
      </c>
      <c r="R196" s="7">
        <v>181</v>
      </c>
      <c r="S196" s="13">
        <f t="shared" si="19"/>
        <v>1928.7495890410964</v>
      </c>
      <c r="T196" s="9">
        <f t="shared" si="22"/>
        <v>100.05041095890412</v>
      </c>
      <c r="U196" s="7">
        <v>12.5</v>
      </c>
      <c r="V196" s="7">
        <v>0.24</v>
      </c>
      <c r="W196" s="9">
        <f t="shared" si="20"/>
        <v>40.778880000000015</v>
      </c>
      <c r="X196" s="79">
        <f t="shared" si="23"/>
        <v>0</v>
      </c>
      <c r="Z196" s="8"/>
    </row>
    <row r="197" spans="1:26" hidden="1" x14ac:dyDescent="0.25">
      <c r="A197" s="24" t="s">
        <v>41</v>
      </c>
      <c r="B197" s="4">
        <v>1201</v>
      </c>
      <c r="C197" s="4" t="s">
        <v>46</v>
      </c>
      <c r="D197" s="4" t="s">
        <v>165</v>
      </c>
      <c r="E197" s="4" t="s">
        <v>82</v>
      </c>
      <c r="F197" s="4" t="s">
        <v>156</v>
      </c>
      <c r="G197" s="4">
        <v>120114</v>
      </c>
      <c r="H197" s="4">
        <f>Tabel1[[#This Row],[Stald_kode]]+Tabel1[[#This Row],[Dyr_Kode]]</f>
        <v>121315</v>
      </c>
      <c r="I197" s="12">
        <v>0</v>
      </c>
      <c r="J197" s="4" t="s">
        <v>121</v>
      </c>
      <c r="K197" s="4"/>
      <c r="L197" s="14">
        <v>31.46</v>
      </c>
      <c r="M197" s="14">
        <v>0.08</v>
      </c>
      <c r="N197" s="14">
        <f>Tabel1[[#This Row],[Antal dyr i Kommunen 2018]]*Tabel1[[#This Row],[Gødning (g) pr. dyr (ton)]]</f>
        <v>0</v>
      </c>
      <c r="O197" s="15"/>
      <c r="P197" s="14"/>
      <c r="Q197" s="14">
        <v>18</v>
      </c>
      <c r="R197" s="14">
        <v>181</v>
      </c>
      <c r="S197" s="13">
        <f t="shared" si="19"/>
        <v>1914.147068493151</v>
      </c>
      <c r="T197" s="13">
        <f t="shared" si="22"/>
        <v>99.292931506849314</v>
      </c>
      <c r="U197" s="14">
        <v>12.5</v>
      </c>
      <c r="V197" s="14">
        <v>0.24</v>
      </c>
      <c r="W197" s="13">
        <f t="shared" si="20"/>
        <v>40.470144000000005</v>
      </c>
      <c r="X197" s="79">
        <f t="shared" si="23"/>
        <v>0</v>
      </c>
      <c r="Z197" s="8"/>
    </row>
    <row r="198" spans="1:26" hidden="1" x14ac:dyDescent="0.25">
      <c r="A198" s="25" t="s">
        <v>41</v>
      </c>
      <c r="B198" s="78">
        <v>1233</v>
      </c>
      <c r="C198" s="4" t="s">
        <v>59</v>
      </c>
      <c r="D198" s="4" t="s">
        <v>166</v>
      </c>
      <c r="E198" s="4" t="s">
        <v>10</v>
      </c>
      <c r="F198" s="4" t="s">
        <v>157</v>
      </c>
      <c r="G198" s="4">
        <v>123301</v>
      </c>
      <c r="H198" s="4">
        <f>Tabel1[[#This Row],[Stald_kode]]+Tabel1[[#This Row],[Dyr_Kode]]</f>
        <v>124534</v>
      </c>
      <c r="I198" s="12">
        <v>0</v>
      </c>
      <c r="J198" s="4" t="s">
        <v>124</v>
      </c>
      <c r="K198" s="4"/>
      <c r="L198" s="14">
        <v>3.36</v>
      </c>
      <c r="M198" s="14">
        <v>0.186</v>
      </c>
      <c r="N198" s="14">
        <f>Tabel1[[#This Row],[Antal dyr i Kommunen 2018]]*Tabel1[[#This Row],[Gødning (g) pr. dyr (ton)]]</f>
        <v>0</v>
      </c>
      <c r="O198" s="15"/>
      <c r="P198" s="14"/>
      <c r="Q198" s="14">
        <v>132</v>
      </c>
      <c r="R198" s="7">
        <v>181</v>
      </c>
      <c r="S198" s="13">
        <f t="shared" si="19"/>
        <v>319.15765479452057</v>
      </c>
      <c r="T198" s="9">
        <f t="shared" si="22"/>
        <v>180.81034520547942</v>
      </c>
      <c r="U198" s="7">
        <v>2</v>
      </c>
      <c r="V198" s="7">
        <v>0.18</v>
      </c>
      <c r="W198" s="9">
        <f t="shared" si="20"/>
        <v>1.205922816</v>
      </c>
      <c r="X198" s="79">
        <f t="shared" si="23"/>
        <v>0</v>
      </c>
      <c r="Z198" s="8"/>
    </row>
    <row r="199" spans="1:26" hidden="1" x14ac:dyDescent="0.25">
      <c r="A199" s="26" t="s">
        <v>41</v>
      </c>
      <c r="B199" s="80"/>
      <c r="C199" s="4" t="s">
        <v>59</v>
      </c>
      <c r="D199" s="4" t="s">
        <v>166</v>
      </c>
      <c r="E199" s="4" t="s">
        <v>10</v>
      </c>
      <c r="F199" s="4" t="s">
        <v>157</v>
      </c>
      <c r="G199" s="4"/>
      <c r="H199" s="4">
        <f>Tabel1[[#This Row],[Stald_kode]]+Tabel1[[#This Row],[Dyr_Kode]]</f>
        <v>0</v>
      </c>
      <c r="I199" s="12"/>
      <c r="J199" s="4" t="s">
        <v>127</v>
      </c>
      <c r="K199" s="15"/>
      <c r="L199" s="14">
        <v>2.56</v>
      </c>
      <c r="M199" s="14">
        <v>3.1E-2</v>
      </c>
      <c r="N199" s="14">
        <f>Tabel1[[#This Row],[Antal dyr i Kommunen 2018]]*Tabel1[[#This Row],[Gødning (g) pr. dyr (ton)]]</f>
        <v>0</v>
      </c>
      <c r="O199" s="14"/>
      <c r="P199" s="14"/>
      <c r="Q199" s="13">
        <v>132</v>
      </c>
      <c r="R199" s="7">
        <v>181</v>
      </c>
      <c r="S199" s="13">
        <f t="shared" si="19"/>
        <v>40.527956164383561</v>
      </c>
      <c r="T199" s="9">
        <f t="shared" si="22"/>
        <v>22.960043835616439</v>
      </c>
      <c r="U199" s="7">
        <v>12.5</v>
      </c>
      <c r="V199" s="7">
        <v>0.18</v>
      </c>
      <c r="W199" s="9">
        <f t="shared" si="20"/>
        <v>0.95708159999999998</v>
      </c>
      <c r="X199" s="79">
        <f>(Tabel1[[#This Row],[CH4 pr. dyr (Kg)]]*I198)/1000</f>
        <v>0</v>
      </c>
      <c r="Z199" s="8"/>
    </row>
    <row r="200" spans="1:26" hidden="1" x14ac:dyDescent="0.25">
      <c r="A200" s="25" t="s">
        <v>41</v>
      </c>
      <c r="B200" s="78">
        <v>1233</v>
      </c>
      <c r="C200" s="4" t="s">
        <v>59</v>
      </c>
      <c r="D200" s="4" t="s">
        <v>166</v>
      </c>
      <c r="E200" s="4" t="s">
        <v>11</v>
      </c>
      <c r="F200" s="4" t="s">
        <v>157</v>
      </c>
      <c r="G200" s="4">
        <v>123302</v>
      </c>
      <c r="H200" s="4">
        <f>Tabel1[[#This Row],[Stald_kode]]+Tabel1[[#This Row],[Dyr_Kode]]</f>
        <v>124535</v>
      </c>
      <c r="I200" s="12">
        <v>0</v>
      </c>
      <c r="J200" s="4" t="s">
        <v>121</v>
      </c>
      <c r="K200" s="4"/>
      <c r="L200" s="14">
        <v>5.31</v>
      </c>
      <c r="M200" s="14">
        <v>0.127</v>
      </c>
      <c r="N200" s="14">
        <f>Tabel1[[#This Row],[Antal dyr i Kommunen 2018]]*Tabel1[[#This Row],[Gødning (g) pr. dyr (ton)]]</f>
        <v>0</v>
      </c>
      <c r="O200" s="15"/>
      <c r="P200" s="14"/>
      <c r="Q200" s="14">
        <v>132</v>
      </c>
      <c r="R200" s="7">
        <v>181</v>
      </c>
      <c r="S200" s="13">
        <f t="shared" si="19"/>
        <v>344.39059726027403</v>
      </c>
      <c r="T200" s="9">
        <f t="shared" si="22"/>
        <v>195.10540273972606</v>
      </c>
      <c r="U200" s="7">
        <v>12.5</v>
      </c>
      <c r="V200" s="7">
        <v>0.18</v>
      </c>
      <c r="W200" s="9">
        <f t="shared" si="20"/>
        <v>8.132902200000002</v>
      </c>
      <c r="X200" s="79">
        <f>(W200*I200)/1000</f>
        <v>0</v>
      </c>
      <c r="Z200" s="8"/>
    </row>
    <row r="201" spans="1:26" hidden="1" x14ac:dyDescent="0.25">
      <c r="A201" s="25" t="s">
        <v>41</v>
      </c>
      <c r="B201" s="78">
        <v>1233</v>
      </c>
      <c r="C201" s="4" t="s">
        <v>59</v>
      </c>
      <c r="D201" s="4" t="s">
        <v>166</v>
      </c>
      <c r="E201" s="4" t="s">
        <v>111</v>
      </c>
      <c r="F201" s="4" t="s">
        <v>29</v>
      </c>
      <c r="G201" s="4">
        <v>123307</v>
      </c>
      <c r="H201" s="4">
        <f>Tabel1[[#This Row],[Stald_kode]]+Tabel1[[#This Row],[Dyr_Kode]]</f>
        <v>124540</v>
      </c>
      <c r="I201" s="12">
        <v>0</v>
      </c>
      <c r="J201" s="15"/>
      <c r="K201" s="4" t="s">
        <v>29</v>
      </c>
      <c r="L201" s="14"/>
      <c r="M201" s="14"/>
      <c r="N201" s="14">
        <f>Tabel1[[#This Row],[Antal dyr i Kommunen 2018]]*Tabel1[[#This Row],[Gødning (g) pr. dyr (ton)]]</f>
        <v>0</v>
      </c>
      <c r="O201" s="14">
        <v>3.82</v>
      </c>
      <c r="P201" s="14">
        <v>0.3</v>
      </c>
      <c r="Q201" s="7">
        <v>132</v>
      </c>
      <c r="R201" s="7">
        <v>181</v>
      </c>
      <c r="S201" s="13">
        <f t="shared" si="19"/>
        <v>731.22696410958906</v>
      </c>
      <c r="T201" s="9">
        <f>(O201*1000)/365*P201*0.8*Q201</f>
        <v>331.55506849315071</v>
      </c>
      <c r="U201" s="7">
        <v>17</v>
      </c>
      <c r="V201" s="7">
        <v>0.18</v>
      </c>
      <c r="W201" s="9">
        <f t="shared" si="20"/>
        <v>21.78915723242137</v>
      </c>
      <c r="X201" s="79">
        <f>(W201*I201)/1000</f>
        <v>0</v>
      </c>
      <c r="Z201" s="8"/>
    </row>
    <row r="202" spans="1:26" hidden="1" x14ac:dyDescent="0.25">
      <c r="A202" s="25" t="s">
        <v>41</v>
      </c>
      <c r="B202" s="78">
        <v>1233</v>
      </c>
      <c r="C202" s="4" t="s">
        <v>59</v>
      </c>
      <c r="D202" s="4" t="s">
        <v>166</v>
      </c>
      <c r="E202" s="4" t="s">
        <v>19</v>
      </c>
      <c r="F202" s="4" t="s">
        <v>29</v>
      </c>
      <c r="G202" s="4">
        <v>123306</v>
      </c>
      <c r="H202" s="4">
        <f>Tabel1[[#This Row],[Stald_kode]]+Tabel1[[#This Row],[Dyr_Kode]]</f>
        <v>124539</v>
      </c>
      <c r="I202" s="12">
        <v>72.56</v>
      </c>
      <c r="J202" s="15"/>
      <c r="K202" s="4" t="s">
        <v>29</v>
      </c>
      <c r="L202" s="14"/>
      <c r="M202" s="14"/>
      <c r="N202" s="14">
        <f>Tabel1[[#This Row],[Antal dyr i Kommunen 2018]]*Tabel1[[#This Row],[Gødning (g) pr. dyr (ton)]]</f>
        <v>0</v>
      </c>
      <c r="O202" s="14">
        <v>4.45</v>
      </c>
      <c r="P202" s="14">
        <v>0.3</v>
      </c>
      <c r="Q202" s="7">
        <v>132</v>
      </c>
      <c r="R202" s="7">
        <v>181</v>
      </c>
      <c r="S202" s="13">
        <f t="shared" si="19"/>
        <v>851.82198698630134</v>
      </c>
      <c r="T202" s="9">
        <f>(O202*1000)/365*P202*0.8*Q202</f>
        <v>386.23561643835615</v>
      </c>
      <c r="U202" s="7">
        <v>17</v>
      </c>
      <c r="V202" s="7">
        <v>0.18</v>
      </c>
      <c r="W202" s="9">
        <f t="shared" si="20"/>
        <v>25.382656985412329</v>
      </c>
      <c r="X202" s="79">
        <f>(W202*I202)/1000</f>
        <v>1.8417655908615187</v>
      </c>
      <c r="Z202" s="8"/>
    </row>
    <row r="203" spans="1:26" hidden="1" x14ac:dyDescent="0.25">
      <c r="A203" s="25" t="s">
        <v>41</v>
      </c>
      <c r="B203" s="78">
        <v>1233</v>
      </c>
      <c r="C203" s="4" t="s">
        <v>59</v>
      </c>
      <c r="D203" s="4" t="s">
        <v>166</v>
      </c>
      <c r="E203" s="4" t="s">
        <v>15</v>
      </c>
      <c r="F203" s="4" t="s">
        <v>29</v>
      </c>
      <c r="G203" s="4">
        <v>123308</v>
      </c>
      <c r="H203" s="4">
        <f>Tabel1[[#This Row],[Stald_kode]]+Tabel1[[#This Row],[Dyr_Kode]]</f>
        <v>124541</v>
      </c>
      <c r="I203" s="12">
        <v>0</v>
      </c>
      <c r="J203" s="4" t="s">
        <v>121</v>
      </c>
      <c r="K203" s="4"/>
      <c r="L203" s="14">
        <v>2.1</v>
      </c>
      <c r="M203" s="14">
        <v>0.104</v>
      </c>
      <c r="N203" s="14">
        <f>Tabel1[[#This Row],[Antal dyr i Kommunen 2018]]*Tabel1[[#This Row],[Gødning (g) pr. dyr (ton)]]</f>
        <v>0</v>
      </c>
      <c r="O203" s="15"/>
      <c r="P203" s="14"/>
      <c r="Q203" s="7">
        <v>132</v>
      </c>
      <c r="R203" s="7">
        <v>181</v>
      </c>
      <c r="S203" s="13">
        <f t="shared" si="19"/>
        <v>111.53358904109589</v>
      </c>
      <c r="T203" s="9">
        <f>(L203*1000)/365*M203*0.8*Q203</f>
        <v>63.186410958904112</v>
      </c>
      <c r="U203" s="7">
        <v>12.5</v>
      </c>
      <c r="V203" s="7">
        <v>0.18</v>
      </c>
      <c r="W203" s="9">
        <f t="shared" si="20"/>
        <v>2.6339040000000002</v>
      </c>
      <c r="X203" s="79">
        <f>(W203*I203)/1000</f>
        <v>0</v>
      </c>
      <c r="Z203" s="8"/>
    </row>
    <row r="204" spans="1:26" hidden="1" x14ac:dyDescent="0.25">
      <c r="A204" s="26" t="s">
        <v>41</v>
      </c>
      <c r="B204" s="80"/>
      <c r="C204" s="4" t="s">
        <v>59</v>
      </c>
      <c r="D204" s="4" t="s">
        <v>166</v>
      </c>
      <c r="E204" s="4" t="s">
        <v>15</v>
      </c>
      <c r="F204" s="4" t="s">
        <v>29</v>
      </c>
      <c r="G204" s="4"/>
      <c r="H204" s="4">
        <f>Tabel1[[#This Row],[Stald_kode]]+Tabel1[[#This Row],[Dyr_Kode]]</f>
        <v>0</v>
      </c>
      <c r="I204" s="12"/>
      <c r="J204" s="4"/>
      <c r="K204" s="4" t="s">
        <v>29</v>
      </c>
      <c r="L204" s="15"/>
      <c r="M204" s="15"/>
      <c r="N204" s="14">
        <f>Tabel1[[#This Row],[Antal dyr i Kommunen 2018]]*Tabel1[[#This Row],[Gødning (g) pr. dyr (ton)]]</f>
        <v>0</v>
      </c>
      <c r="O204" s="13">
        <v>3.31</v>
      </c>
      <c r="P204" s="13">
        <v>0.3</v>
      </c>
      <c r="Q204" s="7">
        <v>132</v>
      </c>
      <c r="R204" s="7">
        <v>181</v>
      </c>
      <c r="S204" s="13">
        <f t="shared" si="19"/>
        <v>633.60242178082194</v>
      </c>
      <c r="T204" s="9">
        <f>(O204*1000)/365*P204*0.8*Q204</f>
        <v>287.28986301369866</v>
      </c>
      <c r="U204" s="7">
        <v>17</v>
      </c>
      <c r="V204" s="7">
        <v>0.18</v>
      </c>
      <c r="W204" s="9">
        <f t="shared" si="20"/>
        <v>18.880133622857265</v>
      </c>
      <c r="X204" s="79">
        <f>(W204*I203)/1000</f>
        <v>0</v>
      </c>
      <c r="Z204" s="8"/>
    </row>
    <row r="205" spans="1:26" hidden="1" x14ac:dyDescent="0.25">
      <c r="A205" s="25" t="s">
        <v>41</v>
      </c>
      <c r="B205" s="78">
        <v>1233</v>
      </c>
      <c r="C205" s="4" t="s">
        <v>59</v>
      </c>
      <c r="D205" s="4" t="s">
        <v>166</v>
      </c>
      <c r="E205" s="4" t="s">
        <v>86</v>
      </c>
      <c r="F205" s="4" t="s">
        <v>29</v>
      </c>
      <c r="G205" s="4">
        <v>123310</v>
      </c>
      <c r="H205" s="4">
        <f>Tabel1[[#This Row],[Stald_kode]]+Tabel1[[#This Row],[Dyr_Kode]]</f>
        <v>124543</v>
      </c>
      <c r="I205" s="12">
        <v>0</v>
      </c>
      <c r="J205" s="4" t="s">
        <v>121</v>
      </c>
      <c r="K205" s="4"/>
      <c r="L205" s="14">
        <v>2.1</v>
      </c>
      <c r="M205" s="14">
        <v>0.104</v>
      </c>
      <c r="N205" s="14">
        <f>Tabel1[[#This Row],[Antal dyr i Kommunen 2018]]*Tabel1[[#This Row],[Gødning (g) pr. dyr (ton)]]</f>
        <v>0</v>
      </c>
      <c r="O205" s="15"/>
      <c r="P205" s="14"/>
      <c r="Q205" s="7">
        <v>132</v>
      </c>
      <c r="R205" s="7">
        <v>181</v>
      </c>
      <c r="S205" s="13">
        <f t="shared" si="19"/>
        <v>111.53358904109589</v>
      </c>
      <c r="T205" s="9">
        <f>(L205*1000)/365*M205*0.8*Q205</f>
        <v>63.186410958904112</v>
      </c>
      <c r="U205" s="7">
        <v>12.5</v>
      </c>
      <c r="V205" s="7">
        <v>0.18</v>
      </c>
      <c r="W205" s="9">
        <f t="shared" si="20"/>
        <v>2.6339040000000002</v>
      </c>
      <c r="X205" s="79">
        <f>(W205*I205)/1000</f>
        <v>0</v>
      </c>
      <c r="Z205" s="8"/>
    </row>
    <row r="206" spans="1:26" hidden="1" x14ac:dyDescent="0.25">
      <c r="A206" s="26" t="s">
        <v>41</v>
      </c>
      <c r="B206" s="80"/>
      <c r="C206" s="4" t="s">
        <v>59</v>
      </c>
      <c r="D206" s="4" t="s">
        <v>166</v>
      </c>
      <c r="E206" s="4" t="s">
        <v>86</v>
      </c>
      <c r="F206" s="4" t="s">
        <v>29</v>
      </c>
      <c r="G206" s="4"/>
      <c r="H206" s="4">
        <f>Tabel1[[#This Row],[Stald_kode]]+Tabel1[[#This Row],[Dyr_Kode]]</f>
        <v>0</v>
      </c>
      <c r="I206" s="12"/>
      <c r="J206" s="4"/>
      <c r="K206" s="4" t="s">
        <v>29</v>
      </c>
      <c r="L206" s="15"/>
      <c r="M206" s="15"/>
      <c r="N206" s="14">
        <f>Tabel1[[#This Row],[Antal dyr i Kommunen 2018]]*Tabel1[[#This Row],[Gødning (g) pr. dyr (ton)]]</f>
        <v>0</v>
      </c>
      <c r="O206" s="13">
        <v>3.31</v>
      </c>
      <c r="P206" s="13">
        <v>0.3</v>
      </c>
      <c r="Q206" s="7">
        <v>132</v>
      </c>
      <c r="R206" s="7">
        <v>181</v>
      </c>
      <c r="S206" s="13">
        <f t="shared" si="19"/>
        <v>633.60242178082194</v>
      </c>
      <c r="T206" s="9">
        <f>(O206*1000)/365*P206*0.8*Q206</f>
        <v>287.28986301369866</v>
      </c>
      <c r="U206" s="7">
        <v>17</v>
      </c>
      <c r="V206" s="7">
        <v>0.18</v>
      </c>
      <c r="W206" s="9">
        <f t="shared" si="20"/>
        <v>18.880133622857265</v>
      </c>
      <c r="X206" s="79">
        <f>(W206*I205)/1000</f>
        <v>0</v>
      </c>
      <c r="Z206" s="8"/>
    </row>
    <row r="207" spans="1:26" hidden="1" x14ac:dyDescent="0.25">
      <c r="A207" s="25" t="s">
        <v>41</v>
      </c>
      <c r="B207" s="78">
        <v>1233</v>
      </c>
      <c r="C207" s="4" t="s">
        <v>59</v>
      </c>
      <c r="D207" s="4" t="s">
        <v>166</v>
      </c>
      <c r="E207" s="4" t="s">
        <v>90</v>
      </c>
      <c r="F207" s="4" t="s">
        <v>29</v>
      </c>
      <c r="G207" s="4">
        <v>123309</v>
      </c>
      <c r="H207" s="4">
        <f>Tabel1[[#This Row],[Stald_kode]]+Tabel1[[#This Row],[Dyr_Kode]]</f>
        <v>124542</v>
      </c>
      <c r="I207" s="12">
        <v>0</v>
      </c>
      <c r="J207" s="4" t="s">
        <v>121</v>
      </c>
      <c r="K207" s="4"/>
      <c r="L207" s="14">
        <v>2.1</v>
      </c>
      <c r="M207" s="14">
        <v>0.104</v>
      </c>
      <c r="N207" s="14">
        <f>Tabel1[[#This Row],[Antal dyr i Kommunen 2018]]*Tabel1[[#This Row],[Gødning (g) pr. dyr (ton)]]</f>
        <v>0</v>
      </c>
      <c r="O207" s="15"/>
      <c r="P207" s="14"/>
      <c r="Q207" s="7">
        <v>132</v>
      </c>
      <c r="R207" s="7">
        <v>181</v>
      </c>
      <c r="S207" s="13">
        <f t="shared" si="19"/>
        <v>111.53358904109589</v>
      </c>
      <c r="T207" s="9">
        <f>(L207*1000)/365*M207*0.8*Q207</f>
        <v>63.186410958904112</v>
      </c>
      <c r="U207" s="7">
        <v>12.5</v>
      </c>
      <c r="V207" s="7">
        <v>0.18</v>
      </c>
      <c r="W207" s="9">
        <f t="shared" si="20"/>
        <v>2.6339040000000002</v>
      </c>
      <c r="X207" s="79">
        <f>(W207*I207)/1000</f>
        <v>0</v>
      </c>
      <c r="Z207" s="8"/>
    </row>
    <row r="208" spans="1:26" hidden="1" x14ac:dyDescent="0.25">
      <c r="A208" s="26" t="s">
        <v>41</v>
      </c>
      <c r="B208" s="80"/>
      <c r="C208" s="4" t="s">
        <v>59</v>
      </c>
      <c r="D208" s="4" t="s">
        <v>166</v>
      </c>
      <c r="E208" s="4" t="s">
        <v>90</v>
      </c>
      <c r="F208" s="4" t="s">
        <v>29</v>
      </c>
      <c r="G208" s="4"/>
      <c r="H208" s="4">
        <f>Tabel1[[#This Row],[Stald_kode]]+Tabel1[[#This Row],[Dyr_Kode]]</f>
        <v>0</v>
      </c>
      <c r="I208" s="12"/>
      <c r="J208" s="4"/>
      <c r="K208" s="4" t="s">
        <v>29</v>
      </c>
      <c r="L208" s="15"/>
      <c r="M208" s="15"/>
      <c r="N208" s="14">
        <f>Tabel1[[#This Row],[Antal dyr i Kommunen 2018]]*Tabel1[[#This Row],[Gødning (g) pr. dyr (ton)]]</f>
        <v>0</v>
      </c>
      <c r="O208" s="13">
        <v>3.31</v>
      </c>
      <c r="P208" s="13">
        <v>0.3</v>
      </c>
      <c r="Q208" s="7">
        <v>132</v>
      </c>
      <c r="R208" s="7">
        <v>181</v>
      </c>
      <c r="S208" s="13">
        <f t="shared" si="19"/>
        <v>633.60242178082194</v>
      </c>
      <c r="T208" s="9">
        <f>(O208*1000)/365*P208*0.8*Q208</f>
        <v>287.28986301369866</v>
      </c>
      <c r="U208" s="7">
        <v>17</v>
      </c>
      <c r="V208" s="7">
        <v>0.18</v>
      </c>
      <c r="W208" s="9">
        <f t="shared" si="20"/>
        <v>18.880133622857265</v>
      </c>
      <c r="X208" s="79">
        <f>(W208*I207)/1000</f>
        <v>0</v>
      </c>
      <c r="Z208" s="8"/>
    </row>
    <row r="209" spans="1:26" hidden="1" x14ac:dyDescent="0.25">
      <c r="A209" s="25" t="s">
        <v>41</v>
      </c>
      <c r="B209" s="78">
        <v>1233</v>
      </c>
      <c r="C209" s="4" t="s">
        <v>59</v>
      </c>
      <c r="D209" s="4" t="s">
        <v>166</v>
      </c>
      <c r="E209" s="4" t="s">
        <v>12</v>
      </c>
      <c r="F209" s="4" t="s">
        <v>156</v>
      </c>
      <c r="G209" s="4">
        <v>123303</v>
      </c>
      <c r="H209" s="4">
        <f>Tabel1[[#This Row],[Stald_kode]]+Tabel1[[#This Row],[Dyr_Kode]]</f>
        <v>124536</v>
      </c>
      <c r="I209" s="12">
        <v>0</v>
      </c>
      <c r="J209" s="4" t="s">
        <v>121</v>
      </c>
      <c r="K209" s="4"/>
      <c r="L209" s="14">
        <v>4.6399999999999997</v>
      </c>
      <c r="M209" s="14">
        <v>0.127</v>
      </c>
      <c r="N209" s="14">
        <f>Tabel1[[#This Row],[Antal dyr i Kommunen 2018]]*Tabel1[[#This Row],[Gødning (g) pr. dyr (ton)]]</f>
        <v>0</v>
      </c>
      <c r="O209" s="15"/>
      <c r="P209" s="14"/>
      <c r="Q209" s="7">
        <v>132</v>
      </c>
      <c r="R209" s="7">
        <v>181</v>
      </c>
      <c r="S209" s="13">
        <f t="shared" si="19"/>
        <v>300.93641643835616</v>
      </c>
      <c r="T209" s="9">
        <f t="shared" ref="T209:T216" si="24">(L209*1000)/365*M209*0.8*Q209</f>
        <v>170.48758356164385</v>
      </c>
      <c r="U209" s="7">
        <v>12.5</v>
      </c>
      <c r="V209" s="7">
        <v>0.18</v>
      </c>
      <c r="W209" s="9">
        <f t="shared" si="20"/>
        <v>7.1067168000000009</v>
      </c>
      <c r="X209" s="79">
        <f t="shared" ref="X209:X214" si="25">(W209*I209)/1000</f>
        <v>0</v>
      </c>
      <c r="Z209" s="8"/>
    </row>
    <row r="210" spans="1:26" hidden="1" x14ac:dyDescent="0.25">
      <c r="A210" s="25" t="s">
        <v>41</v>
      </c>
      <c r="B210" s="78">
        <v>1233</v>
      </c>
      <c r="C210" s="4" t="s">
        <v>59</v>
      </c>
      <c r="D210" s="4" t="s">
        <v>166</v>
      </c>
      <c r="E210" s="4" t="s">
        <v>80</v>
      </c>
      <c r="F210" s="4" t="s">
        <v>156</v>
      </c>
      <c r="G210" s="4">
        <v>123305</v>
      </c>
      <c r="H210" s="4">
        <f>Tabel1[[#This Row],[Stald_kode]]+Tabel1[[#This Row],[Dyr_Kode]]</f>
        <v>124538</v>
      </c>
      <c r="I210" s="12">
        <v>0</v>
      </c>
      <c r="J210" s="4" t="s">
        <v>121</v>
      </c>
      <c r="K210" s="4"/>
      <c r="L210" s="14">
        <v>4.6399999999999997</v>
      </c>
      <c r="M210" s="14">
        <v>0.127</v>
      </c>
      <c r="N210" s="14">
        <f>Tabel1[[#This Row],[Antal dyr i Kommunen 2018]]*Tabel1[[#This Row],[Gødning (g) pr. dyr (ton)]]</f>
        <v>0</v>
      </c>
      <c r="O210" s="15"/>
      <c r="P210" s="14"/>
      <c r="Q210" s="7">
        <v>132</v>
      </c>
      <c r="R210" s="7">
        <v>181</v>
      </c>
      <c r="S210" s="13">
        <f t="shared" si="19"/>
        <v>300.93641643835616</v>
      </c>
      <c r="T210" s="9">
        <f t="shared" si="24"/>
        <v>170.48758356164385</v>
      </c>
      <c r="U210" s="7">
        <v>12.5</v>
      </c>
      <c r="V210" s="7">
        <v>0.18</v>
      </c>
      <c r="W210" s="9">
        <f t="shared" si="20"/>
        <v>7.1067168000000009</v>
      </c>
      <c r="X210" s="79">
        <f t="shared" si="25"/>
        <v>0</v>
      </c>
      <c r="Z210" s="8"/>
    </row>
    <row r="211" spans="1:26" hidden="1" x14ac:dyDescent="0.25">
      <c r="A211" s="25" t="s">
        <v>41</v>
      </c>
      <c r="B211" s="78">
        <v>1233</v>
      </c>
      <c r="C211" s="4" t="s">
        <v>59</v>
      </c>
      <c r="D211" s="4" t="s">
        <v>166</v>
      </c>
      <c r="E211" s="4" t="s">
        <v>18</v>
      </c>
      <c r="F211" s="4" t="s">
        <v>156</v>
      </c>
      <c r="G211" s="4">
        <v>123304</v>
      </c>
      <c r="H211" s="4">
        <f>Tabel1[[#This Row],[Stald_kode]]+Tabel1[[#This Row],[Dyr_Kode]]</f>
        <v>124537</v>
      </c>
      <c r="I211" s="12">
        <v>0</v>
      </c>
      <c r="J211" s="4" t="s">
        <v>121</v>
      </c>
      <c r="K211" s="4"/>
      <c r="L211" s="14">
        <v>4.6399999999999997</v>
      </c>
      <c r="M211" s="14">
        <v>0.127</v>
      </c>
      <c r="N211" s="14">
        <f>Tabel1[[#This Row],[Antal dyr i Kommunen 2018]]*Tabel1[[#This Row],[Gødning (g) pr. dyr (ton)]]</f>
        <v>0</v>
      </c>
      <c r="O211" s="15"/>
      <c r="P211" s="14"/>
      <c r="Q211" s="7">
        <v>132</v>
      </c>
      <c r="R211" s="7">
        <v>181</v>
      </c>
      <c r="S211" s="13">
        <f t="shared" si="19"/>
        <v>300.93641643835616</v>
      </c>
      <c r="T211" s="9">
        <f t="shared" si="24"/>
        <v>170.48758356164385</v>
      </c>
      <c r="U211" s="7">
        <v>12.5</v>
      </c>
      <c r="V211" s="7">
        <v>0.18</v>
      </c>
      <c r="W211" s="9">
        <f t="shared" si="20"/>
        <v>7.1067168000000009</v>
      </c>
      <c r="X211" s="79">
        <f t="shared" si="25"/>
        <v>0</v>
      </c>
      <c r="Z211" s="8"/>
    </row>
    <row r="212" spans="1:26" hidden="1" x14ac:dyDescent="0.25">
      <c r="A212" s="25" t="s">
        <v>41</v>
      </c>
      <c r="B212" s="78">
        <v>1233</v>
      </c>
      <c r="C212" s="4" t="s">
        <v>59</v>
      </c>
      <c r="D212" s="4" t="s">
        <v>166</v>
      </c>
      <c r="E212" s="4" t="s">
        <v>82</v>
      </c>
      <c r="F212" s="4" t="s">
        <v>156</v>
      </c>
      <c r="G212" s="4">
        <v>123316</v>
      </c>
      <c r="H212" s="4">
        <f>Tabel1[[#This Row],[Stald_kode]]+Tabel1[[#This Row],[Dyr_Kode]]</f>
        <v>124549</v>
      </c>
      <c r="I212" s="12">
        <v>0</v>
      </c>
      <c r="J212" s="4" t="s">
        <v>121</v>
      </c>
      <c r="K212" s="4"/>
      <c r="L212" s="14">
        <v>4.6399999999999997</v>
      </c>
      <c r="M212" s="14">
        <v>0.127</v>
      </c>
      <c r="N212" s="14">
        <f>Tabel1[[#This Row],[Antal dyr i Kommunen 2018]]*Tabel1[[#This Row],[Gødning (g) pr. dyr (ton)]]</f>
        <v>0</v>
      </c>
      <c r="O212" s="15"/>
      <c r="P212" s="14"/>
      <c r="Q212" s="7">
        <v>132</v>
      </c>
      <c r="R212" s="7">
        <v>181</v>
      </c>
      <c r="S212" s="13">
        <f t="shared" si="19"/>
        <v>300.93641643835616</v>
      </c>
      <c r="T212" s="9">
        <f t="shared" si="24"/>
        <v>170.48758356164385</v>
      </c>
      <c r="U212" s="7">
        <v>12.5</v>
      </c>
      <c r="V212" s="7">
        <v>0.18</v>
      </c>
      <c r="W212" s="9">
        <f t="shared" si="20"/>
        <v>7.1067168000000009</v>
      </c>
      <c r="X212" s="79">
        <f t="shared" si="25"/>
        <v>0</v>
      </c>
      <c r="Z212" s="8"/>
    </row>
    <row r="213" spans="1:26" hidden="1" x14ac:dyDescent="0.25">
      <c r="A213" s="25" t="s">
        <v>41</v>
      </c>
      <c r="B213" s="78">
        <v>1233</v>
      </c>
      <c r="C213" s="4" t="s">
        <v>59</v>
      </c>
      <c r="D213" s="4" t="s">
        <v>166</v>
      </c>
      <c r="E213" s="4" t="s">
        <v>17</v>
      </c>
      <c r="F213" s="4" t="s">
        <v>158</v>
      </c>
      <c r="G213" s="4">
        <v>123312</v>
      </c>
      <c r="H213" s="4">
        <f>Tabel1[[#This Row],[Stald_kode]]+Tabel1[[#This Row],[Dyr_Kode]]</f>
        <v>124545</v>
      </c>
      <c r="I213" s="12">
        <v>0</v>
      </c>
      <c r="J213" s="4" t="s">
        <v>121</v>
      </c>
      <c r="K213" s="4"/>
      <c r="L213" s="14">
        <v>5.46</v>
      </c>
      <c r="M213" s="14">
        <v>0.1</v>
      </c>
      <c r="N213" s="14">
        <f>Tabel1[[#This Row],[Antal dyr i Kommunen 2018]]*Tabel1[[#This Row],[Gødning (g) pr. dyr (ton)]]</f>
        <v>0</v>
      </c>
      <c r="O213" s="15"/>
      <c r="P213" s="14"/>
      <c r="Q213" s="7">
        <v>132</v>
      </c>
      <c r="R213" s="7">
        <v>181</v>
      </c>
      <c r="S213" s="13">
        <f t="shared" si="19"/>
        <v>278.83397260273972</v>
      </c>
      <c r="T213" s="9">
        <f t="shared" si="24"/>
        <v>157.96602739726026</v>
      </c>
      <c r="U213" s="7">
        <v>12.5</v>
      </c>
      <c r="V213" s="7">
        <v>0.18</v>
      </c>
      <c r="W213" s="9">
        <f t="shared" si="20"/>
        <v>6.5847599999999993</v>
      </c>
      <c r="X213" s="79">
        <f t="shared" si="25"/>
        <v>0</v>
      </c>
      <c r="Z213" s="8"/>
    </row>
    <row r="214" spans="1:26" hidden="1" x14ac:dyDescent="0.25">
      <c r="A214" s="25" t="s">
        <v>41</v>
      </c>
      <c r="B214" s="78">
        <v>1203</v>
      </c>
      <c r="C214" s="4" t="s">
        <v>48</v>
      </c>
      <c r="D214" s="4" t="s">
        <v>166</v>
      </c>
      <c r="E214" s="4" t="s">
        <v>10</v>
      </c>
      <c r="F214" s="4" t="s">
        <v>157</v>
      </c>
      <c r="G214" s="4">
        <v>120301</v>
      </c>
      <c r="H214" s="4">
        <f>Tabel1[[#This Row],[Stald_kode]]+Tabel1[[#This Row],[Dyr_Kode]]</f>
        <v>121504</v>
      </c>
      <c r="I214" s="12">
        <v>37.799999999999997</v>
      </c>
      <c r="J214" s="4" t="s">
        <v>124</v>
      </c>
      <c r="K214" s="4"/>
      <c r="L214" s="14">
        <v>4.51</v>
      </c>
      <c r="M214" s="14">
        <v>0.182</v>
      </c>
      <c r="N214" s="14">
        <f>Tabel1[[#This Row],[Antal dyr i Kommunen 2018]]*Tabel1[[#This Row],[Gødning (g) pr. dyr (ton)]]</f>
        <v>170.47799999999998</v>
      </c>
      <c r="O214" s="15"/>
      <c r="P214" s="14"/>
      <c r="Q214" s="7">
        <v>132</v>
      </c>
      <c r="R214" s="7">
        <v>181</v>
      </c>
      <c r="S214" s="13">
        <f t="shared" si="19"/>
        <v>419.18040547945202</v>
      </c>
      <c r="T214" s="9">
        <f t="shared" si="24"/>
        <v>237.47559452054793</v>
      </c>
      <c r="U214" s="7">
        <v>2</v>
      </c>
      <c r="V214" s="7">
        <v>0.18</v>
      </c>
      <c r="W214" s="9">
        <f t="shared" si="20"/>
        <v>1.583854272</v>
      </c>
      <c r="X214" s="79">
        <f t="shared" si="25"/>
        <v>5.9869691481599992E-2</v>
      </c>
      <c r="Z214" s="8"/>
    </row>
    <row r="215" spans="1:26" hidden="1" x14ac:dyDescent="0.25">
      <c r="A215" s="26" t="s">
        <v>41</v>
      </c>
      <c r="B215" s="80"/>
      <c r="C215" s="4" t="s">
        <v>48</v>
      </c>
      <c r="D215" s="4" t="s">
        <v>166</v>
      </c>
      <c r="E215" s="4" t="s">
        <v>10</v>
      </c>
      <c r="F215" s="4" t="s">
        <v>157</v>
      </c>
      <c r="G215" s="4"/>
      <c r="H215" s="4">
        <f>Tabel1[[#This Row],[Stald_kode]]+Tabel1[[#This Row],[Dyr_Kode]]</f>
        <v>0</v>
      </c>
      <c r="I215" s="12"/>
      <c r="J215" s="4" t="s">
        <v>127</v>
      </c>
      <c r="K215" s="15"/>
      <c r="L215" s="13">
        <v>3.17</v>
      </c>
      <c r="M215" s="13">
        <v>3.4000000000000002E-2</v>
      </c>
      <c r="N215" s="13">
        <f>Tabel1[[#This Row],[Antal dyr i Kommunen 2018]]*Tabel1[[#This Row],[Gødning (g) pr. dyr (ton)]]</f>
        <v>0</v>
      </c>
      <c r="O215" s="14"/>
      <c r="P215" s="14"/>
      <c r="Q215" s="7">
        <v>132</v>
      </c>
      <c r="R215" s="7">
        <v>181</v>
      </c>
      <c r="S215" s="13">
        <f t="shared" ref="S215:S235" si="26">(L215*1000)/365*M215*(365-Q215)*0.8+(O215*1000)/365*P215*(365-Q215)*(1-0.045/100)</f>
        <v>55.041621917808222</v>
      </c>
      <c r="T215" s="9">
        <f t="shared" si="24"/>
        <v>31.182378082191786</v>
      </c>
      <c r="U215" s="7">
        <v>12.5</v>
      </c>
      <c r="V215" s="7">
        <v>0.18</v>
      </c>
      <c r="W215" s="9">
        <f t="shared" si="20"/>
        <v>1.2998267999999999</v>
      </c>
      <c r="X215" s="79">
        <f>(W215*I214)/1000</f>
        <v>4.913345303999999E-2</v>
      </c>
      <c r="Z215" s="8"/>
    </row>
    <row r="216" spans="1:26" hidden="1" x14ac:dyDescent="0.25">
      <c r="A216" s="25" t="s">
        <v>41</v>
      </c>
      <c r="B216" s="78">
        <v>1203</v>
      </c>
      <c r="C216" s="4" t="s">
        <v>48</v>
      </c>
      <c r="D216" s="4" t="s">
        <v>166</v>
      </c>
      <c r="E216" s="4" t="s">
        <v>11</v>
      </c>
      <c r="F216" s="4" t="s">
        <v>157</v>
      </c>
      <c r="G216" s="4">
        <v>120302</v>
      </c>
      <c r="H216" s="4">
        <f>Tabel1[[#This Row],[Stald_kode]]+Tabel1[[#This Row],[Dyr_Kode]]</f>
        <v>121505</v>
      </c>
      <c r="I216" s="12">
        <v>0</v>
      </c>
      <c r="J216" s="4" t="s">
        <v>121</v>
      </c>
      <c r="K216" s="4"/>
      <c r="L216" s="14">
        <v>7.22</v>
      </c>
      <c r="M216" s="14">
        <v>0.123</v>
      </c>
      <c r="N216" s="14">
        <f>Tabel1[[#This Row],[Antal dyr i Kommunen 2018]]*Tabel1[[#This Row],[Gødning (g) pr. dyr (ton)]]</f>
        <v>0</v>
      </c>
      <c r="O216" s="15"/>
      <c r="P216" s="14"/>
      <c r="Q216" s="7">
        <v>132</v>
      </c>
      <c r="R216" s="7">
        <v>181</v>
      </c>
      <c r="S216" s="13">
        <f t="shared" si="26"/>
        <v>453.51886027397262</v>
      </c>
      <c r="T216" s="9">
        <f t="shared" si="24"/>
        <v>256.92913972602742</v>
      </c>
      <c r="U216" s="7">
        <v>12.5</v>
      </c>
      <c r="V216" s="7">
        <v>0.18</v>
      </c>
      <c r="W216" s="9">
        <f t="shared" si="20"/>
        <v>10.7100036</v>
      </c>
      <c r="X216" s="79">
        <f>(W216*I216)/1000</f>
        <v>0</v>
      </c>
      <c r="Z216" s="8"/>
    </row>
    <row r="217" spans="1:26" hidden="1" x14ac:dyDescent="0.25">
      <c r="A217" s="25" t="s">
        <v>41</v>
      </c>
      <c r="B217" s="78">
        <v>1203</v>
      </c>
      <c r="C217" s="4" t="s">
        <v>48</v>
      </c>
      <c r="D217" s="4" t="s">
        <v>166</v>
      </c>
      <c r="E217" s="4" t="s">
        <v>16</v>
      </c>
      <c r="F217" s="4" t="s">
        <v>29</v>
      </c>
      <c r="G217" s="4">
        <v>120307</v>
      </c>
      <c r="H217" s="4">
        <f>Tabel1[[#This Row],[Stald_kode]]+Tabel1[[#This Row],[Dyr_Kode]]</f>
        <v>121510</v>
      </c>
      <c r="I217" s="12">
        <v>103.66</v>
      </c>
      <c r="J217" s="15"/>
      <c r="K217" s="4" t="s">
        <v>29</v>
      </c>
      <c r="L217" s="14"/>
      <c r="M217" s="14"/>
      <c r="N217" s="14">
        <f>Tabel1[[#This Row],[Antal dyr i Kommunen 2018]]*Tabel1[[#This Row],[Gødning (g) pr. dyr (ton)]]</f>
        <v>0</v>
      </c>
      <c r="O217" s="14">
        <v>4.88</v>
      </c>
      <c r="P217" s="14">
        <v>0.3</v>
      </c>
      <c r="Q217" s="7">
        <v>132</v>
      </c>
      <c r="R217" s="7">
        <v>181</v>
      </c>
      <c r="S217" s="13">
        <f t="shared" si="26"/>
        <v>934.13287561643835</v>
      </c>
      <c r="T217" s="9">
        <f>(O217*1000)/365*P217*0.8*Q217</f>
        <v>423.55726027397259</v>
      </c>
      <c r="U217" s="7">
        <v>17</v>
      </c>
      <c r="V217" s="7">
        <v>0.18</v>
      </c>
      <c r="W217" s="9">
        <f t="shared" si="20"/>
        <v>27.835363166025203</v>
      </c>
      <c r="X217" s="79">
        <f>(W217*I217)/1000</f>
        <v>2.8854137457901725</v>
      </c>
      <c r="Z217" s="8"/>
    </row>
    <row r="218" spans="1:26" hidden="1" x14ac:dyDescent="0.25">
      <c r="A218" s="25" t="s">
        <v>41</v>
      </c>
      <c r="B218" s="78">
        <v>1203</v>
      </c>
      <c r="C218" s="4" t="s">
        <v>48</v>
      </c>
      <c r="D218" s="4" t="s">
        <v>166</v>
      </c>
      <c r="E218" s="4" t="s">
        <v>19</v>
      </c>
      <c r="F218" s="4" t="s">
        <v>29</v>
      </c>
      <c r="G218" s="4">
        <v>120306</v>
      </c>
      <c r="H218" s="4">
        <f>Tabel1[[#This Row],[Stald_kode]]+Tabel1[[#This Row],[Dyr_Kode]]</f>
        <v>121509</v>
      </c>
      <c r="I218" s="12">
        <v>356.1</v>
      </c>
      <c r="J218" s="15"/>
      <c r="K218" s="4" t="s">
        <v>29</v>
      </c>
      <c r="L218" s="14"/>
      <c r="M218" s="14"/>
      <c r="N218" s="14">
        <f>Tabel1[[#This Row],[Antal dyr i Kommunen 2018]]*Tabel1[[#This Row],[Gødning (g) pr. dyr (ton)]]</f>
        <v>0</v>
      </c>
      <c r="O218" s="14">
        <v>5.52</v>
      </c>
      <c r="P218" s="14">
        <v>0.3</v>
      </c>
      <c r="Q218" s="7">
        <v>132</v>
      </c>
      <c r="R218" s="7">
        <v>181</v>
      </c>
      <c r="S218" s="13">
        <f t="shared" si="26"/>
        <v>1056.6421052054795</v>
      </c>
      <c r="T218" s="9">
        <f>(O218*1000)/365*P218*0.8*Q218</f>
        <v>479.10575342465756</v>
      </c>
      <c r="U218" s="7">
        <v>17</v>
      </c>
      <c r="V218" s="7">
        <v>0.18</v>
      </c>
      <c r="W218" s="9">
        <f t="shared" si="20"/>
        <v>31.485902597635068</v>
      </c>
      <c r="X218" s="79">
        <f>(W218*I218)/1000</f>
        <v>11.212129915017849</v>
      </c>
      <c r="Z218" s="8"/>
    </row>
    <row r="219" spans="1:26" hidden="1" x14ac:dyDescent="0.25">
      <c r="A219" s="25" t="s">
        <v>41</v>
      </c>
      <c r="B219" s="78">
        <v>1203</v>
      </c>
      <c r="C219" s="4" t="s">
        <v>48</v>
      </c>
      <c r="D219" s="4" t="s">
        <v>166</v>
      </c>
      <c r="E219" s="4" t="s">
        <v>15</v>
      </c>
      <c r="F219" s="4" t="s">
        <v>29</v>
      </c>
      <c r="G219" s="4">
        <v>120308</v>
      </c>
      <c r="H219" s="4">
        <f>Tabel1[[#This Row],[Stald_kode]]+Tabel1[[#This Row],[Dyr_Kode]]</f>
        <v>121511</v>
      </c>
      <c r="I219" s="12">
        <v>0</v>
      </c>
      <c r="J219" s="4" t="s">
        <v>121</v>
      </c>
      <c r="K219" s="4"/>
      <c r="L219" s="14">
        <v>2.65</v>
      </c>
      <c r="M219" s="14">
        <v>0.11</v>
      </c>
      <c r="N219" s="14">
        <f>Tabel1[[#This Row],[Antal dyr i Kommunen 2018]]*Tabel1[[#This Row],[Gødning (g) pr. dyr (ton)]]</f>
        <v>0</v>
      </c>
      <c r="O219" s="15"/>
      <c r="P219" s="14"/>
      <c r="Q219" s="7">
        <v>132</v>
      </c>
      <c r="R219" s="7">
        <v>181</v>
      </c>
      <c r="S219" s="13">
        <f t="shared" si="26"/>
        <v>148.86465753424656</v>
      </c>
      <c r="T219" s="9">
        <f>(L219*1000)/365*M219*0.8*Q219</f>
        <v>84.335342465753428</v>
      </c>
      <c r="U219" s="7">
        <v>12.5</v>
      </c>
      <c r="V219" s="7">
        <v>0.18</v>
      </c>
      <c r="W219" s="9">
        <f t="shared" si="20"/>
        <v>3.5154899999999998</v>
      </c>
      <c r="X219" s="79">
        <f>(W219*I219)/1000</f>
        <v>0</v>
      </c>
      <c r="Z219" s="8"/>
    </row>
    <row r="220" spans="1:26" hidden="1" x14ac:dyDescent="0.25">
      <c r="A220" s="26" t="s">
        <v>41</v>
      </c>
      <c r="B220" s="80"/>
      <c r="C220" s="4" t="s">
        <v>48</v>
      </c>
      <c r="D220" s="4" t="s">
        <v>166</v>
      </c>
      <c r="E220" s="4" t="s">
        <v>15</v>
      </c>
      <c r="F220" s="4" t="s">
        <v>29</v>
      </c>
      <c r="G220" s="4"/>
      <c r="H220" s="4">
        <f>Tabel1[[#This Row],[Stald_kode]]+Tabel1[[#This Row],[Dyr_Kode]]</f>
        <v>0</v>
      </c>
      <c r="I220" s="12"/>
      <c r="J220" s="4"/>
      <c r="K220" s="4" t="s">
        <v>29</v>
      </c>
      <c r="L220" s="15"/>
      <c r="M220" s="15"/>
      <c r="N220" s="14">
        <f>Tabel1[[#This Row],[Antal dyr i Kommunen 2018]]*Tabel1[[#This Row],[Gødning (g) pr. dyr (ton)]]</f>
        <v>0</v>
      </c>
      <c r="O220" s="14">
        <v>4.2</v>
      </c>
      <c r="P220" s="14">
        <v>0.3</v>
      </c>
      <c r="Q220" s="7">
        <v>132</v>
      </c>
      <c r="R220" s="7">
        <v>181</v>
      </c>
      <c r="S220" s="13">
        <f t="shared" si="26"/>
        <v>803.96681917808223</v>
      </c>
      <c r="T220" s="9">
        <f>(O220*1000)/365*P220*0.8*Q220</f>
        <v>364.53698630136989</v>
      </c>
      <c r="U220" s="7">
        <v>17</v>
      </c>
      <c r="V220" s="7">
        <v>0.18</v>
      </c>
      <c r="W220" s="9">
        <f t="shared" ref="W220:W235" si="27">(S220*U220/100*0.67*V220)+(T220*U220/100*0.67*V220)</f>
        <v>23.956665019939731</v>
      </c>
      <c r="X220" s="79">
        <f>(W220*I219)/1000</f>
        <v>0</v>
      </c>
      <c r="Z220" s="8"/>
    </row>
    <row r="221" spans="1:26" hidden="1" x14ac:dyDescent="0.25">
      <c r="A221" s="25" t="s">
        <v>41</v>
      </c>
      <c r="B221" s="78">
        <v>1203</v>
      </c>
      <c r="C221" s="4" t="s">
        <v>48</v>
      </c>
      <c r="D221" s="4" t="s">
        <v>166</v>
      </c>
      <c r="E221" s="4" t="s">
        <v>86</v>
      </c>
      <c r="F221" s="4" t="s">
        <v>29</v>
      </c>
      <c r="G221" s="4">
        <v>120310</v>
      </c>
      <c r="H221" s="4">
        <f>Tabel1[[#This Row],[Stald_kode]]+Tabel1[[#This Row],[Dyr_Kode]]</f>
        <v>121513</v>
      </c>
      <c r="I221" s="12">
        <v>0</v>
      </c>
      <c r="J221" s="4" t="s">
        <v>121</v>
      </c>
      <c r="K221" s="4"/>
      <c r="L221" s="14">
        <v>2.65</v>
      </c>
      <c r="M221" s="14">
        <v>0.11</v>
      </c>
      <c r="N221" s="14">
        <f>Tabel1[[#This Row],[Antal dyr i Kommunen 2018]]*Tabel1[[#This Row],[Gødning (g) pr. dyr (ton)]]</f>
        <v>0</v>
      </c>
      <c r="O221" s="15"/>
      <c r="P221" s="14"/>
      <c r="Q221" s="7">
        <v>132</v>
      </c>
      <c r="R221" s="7">
        <v>181</v>
      </c>
      <c r="S221" s="13">
        <f t="shared" si="26"/>
        <v>148.86465753424656</v>
      </c>
      <c r="T221" s="9">
        <f>(L221*1000)/365*M221*0.8*Q221</f>
        <v>84.335342465753428</v>
      </c>
      <c r="U221" s="7">
        <v>12.5</v>
      </c>
      <c r="V221" s="7">
        <v>0.18</v>
      </c>
      <c r="W221" s="9">
        <f t="shared" si="27"/>
        <v>3.5154899999999998</v>
      </c>
      <c r="X221" s="79">
        <f>(W221*I221)/1000</f>
        <v>0</v>
      </c>
      <c r="Z221" s="8"/>
    </row>
    <row r="222" spans="1:26" hidden="1" x14ac:dyDescent="0.25">
      <c r="A222" s="26" t="s">
        <v>41</v>
      </c>
      <c r="B222" s="80"/>
      <c r="C222" s="4" t="s">
        <v>48</v>
      </c>
      <c r="D222" s="4" t="s">
        <v>166</v>
      </c>
      <c r="E222" s="4" t="s">
        <v>86</v>
      </c>
      <c r="F222" s="4" t="s">
        <v>29</v>
      </c>
      <c r="G222" s="4"/>
      <c r="H222" s="4">
        <f>Tabel1[[#This Row],[Stald_kode]]+Tabel1[[#This Row],[Dyr_Kode]]</f>
        <v>0</v>
      </c>
      <c r="I222" s="12"/>
      <c r="J222" s="4"/>
      <c r="K222" s="4" t="s">
        <v>29</v>
      </c>
      <c r="L222" s="15"/>
      <c r="M222" s="15"/>
      <c r="N222" s="14">
        <f>Tabel1[[#This Row],[Antal dyr i Kommunen 2018]]*Tabel1[[#This Row],[Gødning (g) pr. dyr (ton)]]</f>
        <v>0</v>
      </c>
      <c r="O222" s="13">
        <v>4.2</v>
      </c>
      <c r="P222" s="13">
        <v>0.3</v>
      </c>
      <c r="Q222" s="7">
        <v>132</v>
      </c>
      <c r="R222" s="7">
        <v>181</v>
      </c>
      <c r="S222" s="13">
        <f t="shared" si="26"/>
        <v>803.96681917808223</v>
      </c>
      <c r="T222" s="9">
        <f>(O222*1000)/365*P222*0.8*Q222</f>
        <v>364.53698630136989</v>
      </c>
      <c r="U222" s="7">
        <v>17</v>
      </c>
      <c r="V222" s="7">
        <v>0.18</v>
      </c>
      <c r="W222" s="9">
        <f t="shared" si="27"/>
        <v>23.956665019939731</v>
      </c>
      <c r="X222" s="79">
        <f>(W222*I221)/1000</f>
        <v>0</v>
      </c>
      <c r="Z222" s="8"/>
    </row>
    <row r="223" spans="1:26" hidden="1" x14ac:dyDescent="0.25">
      <c r="A223" s="25" t="s">
        <v>41</v>
      </c>
      <c r="B223" s="78">
        <v>1203</v>
      </c>
      <c r="C223" s="4" t="s">
        <v>48</v>
      </c>
      <c r="D223" s="4" t="s">
        <v>166</v>
      </c>
      <c r="E223" s="4" t="s">
        <v>90</v>
      </c>
      <c r="F223" s="4" t="s">
        <v>29</v>
      </c>
      <c r="G223" s="4">
        <v>120309</v>
      </c>
      <c r="H223" s="4">
        <f>Tabel1[[#This Row],[Stald_kode]]+Tabel1[[#This Row],[Dyr_Kode]]</f>
        <v>121512</v>
      </c>
      <c r="I223" s="12">
        <v>0</v>
      </c>
      <c r="J223" s="4" t="s">
        <v>121</v>
      </c>
      <c r="K223" s="4"/>
      <c r="L223" s="14">
        <v>2.65</v>
      </c>
      <c r="M223" s="14">
        <v>0.11</v>
      </c>
      <c r="N223" s="14">
        <f>Tabel1[[#This Row],[Antal dyr i Kommunen 2018]]*Tabel1[[#This Row],[Gødning (g) pr. dyr (ton)]]</f>
        <v>0</v>
      </c>
      <c r="O223" s="15"/>
      <c r="P223" s="14"/>
      <c r="Q223" s="7">
        <v>132</v>
      </c>
      <c r="R223" s="7">
        <v>181</v>
      </c>
      <c r="S223" s="13">
        <f t="shared" si="26"/>
        <v>148.86465753424656</v>
      </c>
      <c r="T223" s="9">
        <f>(L223*1000)/365*M223*0.8*Q223</f>
        <v>84.335342465753428</v>
      </c>
      <c r="U223" s="7">
        <v>12.5</v>
      </c>
      <c r="V223" s="7">
        <v>0.18</v>
      </c>
      <c r="W223" s="9">
        <f t="shared" si="27"/>
        <v>3.5154899999999998</v>
      </c>
      <c r="X223" s="79">
        <f>(W223*I223)/1000</f>
        <v>0</v>
      </c>
      <c r="Z223" s="8"/>
    </row>
    <row r="224" spans="1:26" hidden="1" x14ac:dyDescent="0.25">
      <c r="A224" s="26" t="s">
        <v>41</v>
      </c>
      <c r="B224" s="80"/>
      <c r="C224" s="4" t="s">
        <v>48</v>
      </c>
      <c r="D224" s="4" t="s">
        <v>166</v>
      </c>
      <c r="E224" s="4" t="s">
        <v>90</v>
      </c>
      <c r="F224" s="4" t="s">
        <v>29</v>
      </c>
      <c r="G224" s="4"/>
      <c r="H224" s="4">
        <f>Tabel1[[#This Row],[Stald_kode]]+Tabel1[[#This Row],[Dyr_Kode]]</f>
        <v>0</v>
      </c>
      <c r="I224" s="12"/>
      <c r="J224" s="4"/>
      <c r="K224" s="4" t="s">
        <v>29</v>
      </c>
      <c r="L224" s="15"/>
      <c r="M224" s="15"/>
      <c r="N224" s="14">
        <f>Tabel1[[#This Row],[Antal dyr i Kommunen 2018]]*Tabel1[[#This Row],[Gødning (g) pr. dyr (ton)]]</f>
        <v>0</v>
      </c>
      <c r="O224" s="13">
        <v>4.2</v>
      </c>
      <c r="P224" s="13">
        <v>0.3</v>
      </c>
      <c r="Q224" s="7">
        <v>132</v>
      </c>
      <c r="R224" s="7">
        <v>181</v>
      </c>
      <c r="S224" s="13">
        <f t="shared" si="26"/>
        <v>803.96681917808223</v>
      </c>
      <c r="T224" s="9">
        <f>(O224*1000)/365*P224*0.8*Q224</f>
        <v>364.53698630136989</v>
      </c>
      <c r="U224" s="7">
        <v>17</v>
      </c>
      <c r="V224" s="7">
        <v>0.18</v>
      </c>
      <c r="W224" s="9">
        <f t="shared" si="27"/>
        <v>23.956665019939731</v>
      </c>
      <c r="X224" s="79">
        <f>(W224*I223)/1000</f>
        <v>0</v>
      </c>
      <c r="Z224" s="8"/>
    </row>
    <row r="225" spans="1:26" hidden="1" x14ac:dyDescent="0.25">
      <c r="A225" s="25" t="s">
        <v>41</v>
      </c>
      <c r="B225" s="78">
        <v>1203</v>
      </c>
      <c r="C225" s="4" t="s">
        <v>48</v>
      </c>
      <c r="D225" s="4" t="s">
        <v>166</v>
      </c>
      <c r="E225" s="4" t="s">
        <v>12</v>
      </c>
      <c r="F225" s="4" t="s">
        <v>156</v>
      </c>
      <c r="G225" s="4">
        <v>120303</v>
      </c>
      <c r="H225" s="4">
        <f>Tabel1[[#This Row],[Stald_kode]]+Tabel1[[#This Row],[Dyr_Kode]]</f>
        <v>121506</v>
      </c>
      <c r="I225" s="12">
        <v>0</v>
      </c>
      <c r="J225" s="4" t="s">
        <v>121</v>
      </c>
      <c r="K225" s="4"/>
      <c r="L225" s="14">
        <v>6.44</v>
      </c>
      <c r="M225" s="14">
        <v>0.123</v>
      </c>
      <c r="N225" s="14">
        <f>Tabel1[[#This Row],[Antal dyr i Kommunen 2018]]*Tabel1[[#This Row],[Gødning (g) pr. dyr (ton)]]</f>
        <v>0</v>
      </c>
      <c r="O225" s="15"/>
      <c r="P225" s="14"/>
      <c r="Q225" s="7">
        <v>132</v>
      </c>
      <c r="R225" s="7">
        <v>181</v>
      </c>
      <c r="S225" s="13">
        <f t="shared" si="26"/>
        <v>404.52374794520551</v>
      </c>
      <c r="T225" s="9">
        <f>(L225*1000)/365*M225*0.8*Q225</f>
        <v>229.17225205479454</v>
      </c>
      <c r="U225" s="7">
        <v>12.5</v>
      </c>
      <c r="V225" s="7">
        <v>0.18</v>
      </c>
      <c r="W225" s="9">
        <f t="shared" si="27"/>
        <v>9.5529672000000012</v>
      </c>
      <c r="X225" s="79">
        <f t="shared" ref="X225:X235" si="28">(W225*I225)/1000</f>
        <v>0</v>
      </c>
      <c r="Z225" s="8"/>
    </row>
    <row r="226" spans="1:26" hidden="1" x14ac:dyDescent="0.25">
      <c r="A226" s="24" t="s">
        <v>41</v>
      </c>
      <c r="B226" s="4">
        <v>1203</v>
      </c>
      <c r="C226" s="4" t="s">
        <v>48</v>
      </c>
      <c r="D226" s="4" t="s">
        <v>166</v>
      </c>
      <c r="E226" s="4" t="s">
        <v>80</v>
      </c>
      <c r="F226" s="4" t="s">
        <v>156</v>
      </c>
      <c r="G226" s="4">
        <v>120305</v>
      </c>
      <c r="H226" s="4">
        <f>Tabel1[[#This Row],[Stald_kode]]+Tabel1[[#This Row],[Dyr_Kode]]</f>
        <v>121508</v>
      </c>
      <c r="I226" s="12">
        <v>0</v>
      </c>
      <c r="J226" s="4" t="s">
        <v>121</v>
      </c>
      <c r="K226" s="4"/>
      <c r="L226" s="14">
        <v>6.44</v>
      </c>
      <c r="M226" s="14">
        <v>0.123</v>
      </c>
      <c r="N226" s="14">
        <f>Tabel1[[#This Row],[Antal dyr i Kommunen 2018]]*Tabel1[[#This Row],[Gødning (g) pr. dyr (ton)]]</f>
        <v>0</v>
      </c>
      <c r="O226" s="15"/>
      <c r="P226" s="14"/>
      <c r="Q226" s="7">
        <v>132</v>
      </c>
      <c r="R226" s="7">
        <v>181</v>
      </c>
      <c r="S226" s="13">
        <f t="shared" si="26"/>
        <v>404.52374794520551</v>
      </c>
      <c r="T226" s="9">
        <f>(L226*1000)/365*M226*0.8*Q226</f>
        <v>229.17225205479454</v>
      </c>
      <c r="U226" s="7">
        <v>12.5</v>
      </c>
      <c r="V226" s="7">
        <v>0.18</v>
      </c>
      <c r="W226" s="9">
        <f t="shared" si="27"/>
        <v>9.5529672000000012</v>
      </c>
      <c r="X226" s="79">
        <f t="shared" si="28"/>
        <v>0</v>
      </c>
      <c r="Z226" s="8"/>
    </row>
    <row r="227" spans="1:26" hidden="1" x14ac:dyDescent="0.25">
      <c r="A227" s="25" t="s">
        <v>41</v>
      </c>
      <c r="B227" s="78">
        <v>1203</v>
      </c>
      <c r="C227" s="4" t="s">
        <v>48</v>
      </c>
      <c r="D227" s="4" t="s">
        <v>166</v>
      </c>
      <c r="E227" s="4" t="s">
        <v>18</v>
      </c>
      <c r="F227" s="4" t="s">
        <v>156</v>
      </c>
      <c r="G227" s="4">
        <v>120304</v>
      </c>
      <c r="H227" s="4">
        <f>Tabel1[[#This Row],[Stald_kode]]+Tabel1[[#This Row],[Dyr_Kode]]</f>
        <v>121507</v>
      </c>
      <c r="I227" s="12">
        <v>0</v>
      </c>
      <c r="J227" s="4" t="s">
        <v>121</v>
      </c>
      <c r="K227" s="4"/>
      <c r="L227" s="14">
        <v>6.44</v>
      </c>
      <c r="M227" s="14">
        <v>0.123</v>
      </c>
      <c r="N227" s="14">
        <f>Tabel1[[#This Row],[Antal dyr i Kommunen 2018]]*Tabel1[[#This Row],[Gødning (g) pr. dyr (ton)]]</f>
        <v>0</v>
      </c>
      <c r="O227" s="15"/>
      <c r="P227" s="14"/>
      <c r="Q227" s="7">
        <v>132</v>
      </c>
      <c r="R227" s="7">
        <v>181</v>
      </c>
      <c r="S227" s="13">
        <f t="shared" si="26"/>
        <v>404.52374794520551</v>
      </c>
      <c r="T227" s="9">
        <f>(L227*1000)/365*M227*0.8*Q227</f>
        <v>229.17225205479454</v>
      </c>
      <c r="U227" s="7">
        <v>12.5</v>
      </c>
      <c r="V227" s="7">
        <v>0.18</v>
      </c>
      <c r="W227" s="9">
        <f t="shared" si="27"/>
        <v>9.5529672000000012</v>
      </c>
      <c r="X227" s="79">
        <f t="shared" si="28"/>
        <v>0</v>
      </c>
      <c r="Z227" s="8"/>
    </row>
    <row r="228" spans="1:26" hidden="1" x14ac:dyDescent="0.25">
      <c r="A228" s="25" t="s">
        <v>41</v>
      </c>
      <c r="B228" s="78">
        <v>1203</v>
      </c>
      <c r="C228" s="4" t="s">
        <v>48</v>
      </c>
      <c r="D228" s="4" t="s">
        <v>166</v>
      </c>
      <c r="E228" s="4" t="s">
        <v>82</v>
      </c>
      <c r="F228" s="4" t="s">
        <v>156</v>
      </c>
      <c r="G228" s="4">
        <v>120316</v>
      </c>
      <c r="H228" s="4">
        <f>Tabel1[[#This Row],[Stald_kode]]+Tabel1[[#This Row],[Dyr_Kode]]</f>
        <v>121519</v>
      </c>
      <c r="I228" s="12">
        <v>0</v>
      </c>
      <c r="J228" s="4" t="s">
        <v>121</v>
      </c>
      <c r="K228" s="4"/>
      <c r="L228" s="14">
        <v>6.44</v>
      </c>
      <c r="M228" s="14">
        <v>0.123</v>
      </c>
      <c r="N228" s="14">
        <f>Tabel1[[#This Row],[Antal dyr i Kommunen 2018]]*Tabel1[[#This Row],[Gødning (g) pr. dyr (ton)]]</f>
        <v>0</v>
      </c>
      <c r="O228" s="15"/>
      <c r="P228" s="14"/>
      <c r="Q228" s="7">
        <v>132</v>
      </c>
      <c r="R228" s="7">
        <v>181</v>
      </c>
      <c r="S228" s="13">
        <f t="shared" si="26"/>
        <v>404.52374794520551</v>
      </c>
      <c r="T228" s="9">
        <f>(L228*1000)/365*M228*0.8*Q228</f>
        <v>229.17225205479454</v>
      </c>
      <c r="U228" s="7">
        <v>12.5</v>
      </c>
      <c r="V228" s="7">
        <v>0.24</v>
      </c>
      <c r="W228" s="9">
        <f t="shared" si="27"/>
        <v>12.7372896</v>
      </c>
      <c r="X228" s="79">
        <f t="shared" si="28"/>
        <v>0</v>
      </c>
      <c r="Z228" s="8"/>
    </row>
    <row r="229" spans="1:26" hidden="1" x14ac:dyDescent="0.25">
      <c r="A229" s="25" t="s">
        <v>41</v>
      </c>
      <c r="B229" s="78">
        <v>1203</v>
      </c>
      <c r="C229" s="4" t="s">
        <v>48</v>
      </c>
      <c r="D229" s="4" t="s">
        <v>166</v>
      </c>
      <c r="E229" s="4" t="s">
        <v>17</v>
      </c>
      <c r="F229" s="4" t="s">
        <v>158</v>
      </c>
      <c r="G229" s="4">
        <v>120312</v>
      </c>
      <c r="H229" s="4">
        <f>Tabel1[[#This Row],[Stald_kode]]+Tabel1[[#This Row],[Dyr_Kode]]</f>
        <v>121515</v>
      </c>
      <c r="I229" s="12">
        <v>0</v>
      </c>
      <c r="J229" s="4" t="s">
        <v>121</v>
      </c>
      <c r="K229" s="4"/>
      <c r="L229" s="14">
        <v>7.28</v>
      </c>
      <c r="M229" s="14">
        <v>0.1</v>
      </c>
      <c r="N229" s="14">
        <f>Tabel1[[#This Row],[Antal dyr i Kommunen 2018]]*Tabel1[[#This Row],[Gødning (g) pr. dyr (ton)]]</f>
        <v>0</v>
      </c>
      <c r="O229" s="15"/>
      <c r="P229" s="14"/>
      <c r="Q229" s="7">
        <v>132</v>
      </c>
      <c r="R229" s="7">
        <v>181</v>
      </c>
      <c r="S229" s="13">
        <f t="shared" si="26"/>
        <v>371.77863013698635</v>
      </c>
      <c r="T229" s="9">
        <f>(L229*1000)/365*M229*0.8*Q229</f>
        <v>210.62136986301374</v>
      </c>
      <c r="U229" s="7">
        <v>12.5</v>
      </c>
      <c r="V229" s="7">
        <v>0.18</v>
      </c>
      <c r="W229" s="9">
        <f t="shared" si="27"/>
        <v>8.7796800000000008</v>
      </c>
      <c r="X229" s="79">
        <f t="shared" si="28"/>
        <v>0</v>
      </c>
      <c r="Z229" s="8"/>
    </row>
    <row r="230" spans="1:26" hidden="1" x14ac:dyDescent="0.25">
      <c r="A230" s="25" t="s">
        <v>41</v>
      </c>
      <c r="B230" s="78">
        <v>1232</v>
      </c>
      <c r="C230" s="4" t="s">
        <v>60</v>
      </c>
      <c r="D230" s="4" t="s">
        <v>167</v>
      </c>
      <c r="E230" s="4" t="s">
        <v>14</v>
      </c>
      <c r="F230" s="4" t="s">
        <v>29</v>
      </c>
      <c r="G230" s="4">
        <v>123201</v>
      </c>
      <c r="H230" s="4">
        <f>Tabel1[[#This Row],[Stald_kode]]+Tabel1[[#This Row],[Dyr_Kode]]</f>
        <v>124433</v>
      </c>
      <c r="I230" s="12">
        <v>5.97</v>
      </c>
      <c r="J230" s="15"/>
      <c r="K230" s="4" t="s">
        <v>29</v>
      </c>
      <c r="L230" s="14"/>
      <c r="M230" s="14"/>
      <c r="N230" s="14">
        <f>Tabel1[[#This Row],[Antal dyr i Kommunen 2018]]*Tabel1[[#This Row],[Gødning (g) pr. dyr (ton)]]</f>
        <v>0</v>
      </c>
      <c r="O230" s="14">
        <v>1.48</v>
      </c>
      <c r="P230" s="14">
        <v>0.3</v>
      </c>
      <c r="Q230" s="7">
        <v>224</v>
      </c>
      <c r="R230" s="7">
        <v>224</v>
      </c>
      <c r="S230" s="13">
        <f t="shared" si="26"/>
        <v>171.44062520547948</v>
      </c>
      <c r="T230" s="9">
        <f>(O230*1000)/365*P230*0.8*Q230</f>
        <v>217.98575342465756</v>
      </c>
      <c r="U230" s="7">
        <v>17</v>
      </c>
      <c r="V230" s="7">
        <v>0.18</v>
      </c>
      <c r="W230" s="9">
        <f t="shared" si="27"/>
        <v>7.9840196146750699</v>
      </c>
      <c r="X230" s="79">
        <f t="shared" si="28"/>
        <v>4.7664597099610163E-2</v>
      </c>
      <c r="Z230" s="8"/>
    </row>
    <row r="231" spans="1:26" hidden="1" x14ac:dyDescent="0.25">
      <c r="A231" s="25" t="s">
        <v>41</v>
      </c>
      <c r="B231" s="78">
        <v>1232</v>
      </c>
      <c r="C231" s="4" t="s">
        <v>60</v>
      </c>
      <c r="D231" s="4" t="s">
        <v>167</v>
      </c>
      <c r="E231" s="4" t="s">
        <v>16</v>
      </c>
      <c r="F231" s="4" t="s">
        <v>29</v>
      </c>
      <c r="G231" s="4">
        <v>123202</v>
      </c>
      <c r="H231" s="4">
        <f>Tabel1[[#This Row],[Stald_kode]]+Tabel1[[#This Row],[Dyr_Kode]]</f>
        <v>124434</v>
      </c>
      <c r="I231" s="12">
        <v>0</v>
      </c>
      <c r="J231" s="15"/>
      <c r="K231" s="4" t="s">
        <v>29</v>
      </c>
      <c r="L231" s="14"/>
      <c r="M231" s="14"/>
      <c r="N231" s="14">
        <f>Tabel1[[#This Row],[Antal dyr i Kommunen 2018]]*Tabel1[[#This Row],[Gødning (g) pr. dyr (ton)]]</f>
        <v>0</v>
      </c>
      <c r="O231" s="14">
        <v>0.75</v>
      </c>
      <c r="P231" s="14">
        <v>0.3</v>
      </c>
      <c r="Q231" s="7">
        <v>224</v>
      </c>
      <c r="R231" s="7">
        <v>224</v>
      </c>
      <c r="S231" s="13">
        <f t="shared" si="26"/>
        <v>86.87869520547946</v>
      </c>
      <c r="T231" s="9">
        <f>(O231*1000)/365*P231*0.8*Q231</f>
        <v>110.46575342465754</v>
      </c>
      <c r="U231" s="7">
        <v>17</v>
      </c>
      <c r="V231" s="7">
        <v>0.18</v>
      </c>
      <c r="W231" s="9">
        <f t="shared" si="27"/>
        <v>4.0459558858150686</v>
      </c>
      <c r="X231" s="79">
        <f t="shared" si="28"/>
        <v>0</v>
      </c>
      <c r="Z231" s="8"/>
    </row>
    <row r="232" spans="1:26" hidden="1" x14ac:dyDescent="0.25">
      <c r="A232" s="25" t="s">
        <v>41</v>
      </c>
      <c r="B232" s="78">
        <v>1202</v>
      </c>
      <c r="C232" s="4" t="s">
        <v>49</v>
      </c>
      <c r="D232" s="4" t="s">
        <v>167</v>
      </c>
      <c r="E232" s="4" t="s">
        <v>14</v>
      </c>
      <c r="F232" s="4" t="s">
        <v>29</v>
      </c>
      <c r="G232" s="4">
        <v>120201</v>
      </c>
      <c r="H232" s="4">
        <f>Tabel1[[#This Row],[Stald_kode]]+Tabel1[[#This Row],[Dyr_Kode]]</f>
        <v>121403</v>
      </c>
      <c r="I232" s="12">
        <v>161.9</v>
      </c>
      <c r="J232" s="15"/>
      <c r="K232" s="4" t="s">
        <v>29</v>
      </c>
      <c r="L232" s="14"/>
      <c r="M232" s="14"/>
      <c r="N232" s="14">
        <f>Tabel1[[#This Row],[Antal dyr i Kommunen 2018]]*Tabel1[[#This Row],[Gødning (g) pr. dyr (ton)]]</f>
        <v>0</v>
      </c>
      <c r="O232" s="14">
        <v>1.86</v>
      </c>
      <c r="P232" s="14">
        <v>0.3</v>
      </c>
      <c r="Q232" s="7">
        <v>224</v>
      </c>
      <c r="R232" s="7">
        <v>224</v>
      </c>
      <c r="S232" s="13">
        <f t="shared" si="26"/>
        <v>215.45916410958904</v>
      </c>
      <c r="T232" s="9">
        <f>(O232*1000)/365*P232*0.8*Q232</f>
        <v>273.95506849315069</v>
      </c>
      <c r="U232" s="7">
        <v>17</v>
      </c>
      <c r="V232" s="7">
        <v>0.18</v>
      </c>
      <c r="W232" s="9">
        <f t="shared" si="27"/>
        <v>10.033970596821371</v>
      </c>
      <c r="X232" s="79">
        <f t="shared" si="28"/>
        <v>1.62449983962538</v>
      </c>
      <c r="Z232" s="8"/>
    </row>
    <row r="233" spans="1:26" hidden="1" x14ac:dyDescent="0.25">
      <c r="A233" s="25" t="s">
        <v>41</v>
      </c>
      <c r="B233" s="78">
        <v>1202</v>
      </c>
      <c r="C233" s="4" t="s">
        <v>49</v>
      </c>
      <c r="D233" s="4" t="s">
        <v>167</v>
      </c>
      <c r="E233" s="4" t="s">
        <v>16</v>
      </c>
      <c r="F233" s="4" t="s">
        <v>29</v>
      </c>
      <c r="G233" s="4">
        <v>120202</v>
      </c>
      <c r="H233" s="4">
        <f>Tabel1[[#This Row],[Stald_kode]]+Tabel1[[#This Row],[Dyr_Kode]]</f>
        <v>121404</v>
      </c>
      <c r="I233" s="12">
        <v>7.98</v>
      </c>
      <c r="J233" s="15"/>
      <c r="K233" s="4" t="s">
        <v>29</v>
      </c>
      <c r="L233" s="14"/>
      <c r="M233" s="14"/>
      <c r="N233" s="14">
        <f>Tabel1[[#This Row],[Antal dyr i Kommunen 2018]]*Tabel1[[#This Row],[Gødning (g) pr. dyr (ton)]]</f>
        <v>0</v>
      </c>
      <c r="O233" s="14">
        <v>0.98</v>
      </c>
      <c r="P233" s="14">
        <v>0.3</v>
      </c>
      <c r="Q233" s="7">
        <v>224</v>
      </c>
      <c r="R233" s="7">
        <v>224</v>
      </c>
      <c r="S233" s="13">
        <f t="shared" si="26"/>
        <v>113.52149506849317</v>
      </c>
      <c r="T233" s="9">
        <f>(O233*1000)/365*P233*0.8*Q233</f>
        <v>144.34191780821919</v>
      </c>
      <c r="U233" s="7">
        <v>17</v>
      </c>
      <c r="V233" s="7">
        <v>0.18</v>
      </c>
      <c r="W233" s="9">
        <f t="shared" si="27"/>
        <v>5.2867156907983563</v>
      </c>
      <c r="X233" s="79">
        <f t="shared" si="28"/>
        <v>4.2187991212570886E-2</v>
      </c>
      <c r="Z233" s="8"/>
    </row>
    <row r="234" spans="1:26" x14ac:dyDescent="0.25">
      <c r="A234" s="25" t="s">
        <v>4</v>
      </c>
      <c r="B234" s="78">
        <v>2400</v>
      </c>
      <c r="C234" s="4" t="s">
        <v>47</v>
      </c>
      <c r="D234" s="4" t="s">
        <v>168</v>
      </c>
      <c r="E234" s="4" t="s">
        <v>97</v>
      </c>
      <c r="F234" s="4" t="s">
        <v>155</v>
      </c>
      <c r="G234" s="4">
        <v>240003</v>
      </c>
      <c r="H234" s="4">
        <f>Tabel1[[#This Row],[Stald_kode]]+Tabel1[[#This Row],[Dyr_Kode]]</f>
        <v>242403</v>
      </c>
      <c r="I234" s="12">
        <v>0</v>
      </c>
      <c r="J234" s="4" t="s">
        <v>125</v>
      </c>
      <c r="K234" s="4"/>
      <c r="L234" s="14">
        <v>0.35</v>
      </c>
      <c r="M234" s="14">
        <v>0.12</v>
      </c>
      <c r="N234" s="14">
        <f>Tabel1[[#This Row],[Antal dyr i Kommunen 2018]]*Tabel1[[#This Row],[Gødning (g) pr. dyr (ton)]]</f>
        <v>0</v>
      </c>
      <c r="O234" s="15"/>
      <c r="P234" s="14"/>
      <c r="Q234" s="7">
        <v>0</v>
      </c>
      <c r="R234" s="7">
        <v>0</v>
      </c>
      <c r="S234" s="13">
        <f t="shared" si="26"/>
        <v>33.599999999999994</v>
      </c>
      <c r="T234" s="9">
        <f>(L234*1000)/365*M234*0.8*Q234</f>
        <v>0</v>
      </c>
      <c r="U234" s="7">
        <v>10.14</v>
      </c>
      <c r="V234" s="7">
        <v>0.25</v>
      </c>
      <c r="W234" s="9">
        <f t="shared" si="27"/>
        <v>0.57067919999999994</v>
      </c>
      <c r="X234" s="79">
        <f t="shared" si="28"/>
        <v>0</v>
      </c>
      <c r="Z234" s="8"/>
    </row>
    <row r="235" spans="1:26" x14ac:dyDescent="0.25">
      <c r="A235" s="24" t="s">
        <v>4</v>
      </c>
      <c r="B235" s="4">
        <v>2400</v>
      </c>
      <c r="C235" s="4" t="s">
        <v>47</v>
      </c>
      <c r="D235" s="4" t="s">
        <v>168</v>
      </c>
      <c r="E235" s="4" t="s">
        <v>79</v>
      </c>
      <c r="F235" s="4" t="s">
        <v>155</v>
      </c>
      <c r="G235" s="4">
        <v>240001</v>
      </c>
      <c r="H235" s="4">
        <f>Tabel1[[#This Row],[Stald_kode]]+Tabel1[[#This Row],[Dyr_Kode]]</f>
        <v>242401</v>
      </c>
      <c r="I235" s="12">
        <v>28565.51</v>
      </c>
      <c r="J235" s="4" t="s">
        <v>123</v>
      </c>
      <c r="K235" s="4" t="s">
        <v>29</v>
      </c>
      <c r="L235" s="14">
        <v>0.06</v>
      </c>
      <c r="M235" s="14">
        <v>0.35</v>
      </c>
      <c r="N235" s="14">
        <f>Tabel1[[#This Row],[Antal dyr i Kommunen 2018]]*Tabel1[[#This Row],[Gødning (g) pr. dyr (ton)]]</f>
        <v>1713.9305999999999</v>
      </c>
      <c r="O235" s="15"/>
      <c r="P235" s="14"/>
      <c r="Q235" s="7">
        <v>0</v>
      </c>
      <c r="R235" s="7">
        <v>0</v>
      </c>
      <c r="S235" s="13">
        <f t="shared" si="26"/>
        <v>16.799999999999997</v>
      </c>
      <c r="T235" s="9">
        <f>(L235*1000)/365*M235*0.8*Q235</f>
        <v>0</v>
      </c>
      <c r="U235" s="7">
        <v>10.14</v>
      </c>
      <c r="V235" s="7">
        <v>0.25</v>
      </c>
      <c r="W235" s="9">
        <f t="shared" si="27"/>
        <v>0.28533959999999997</v>
      </c>
      <c r="X235" s="79">
        <f t="shared" si="28"/>
        <v>8.1508711971959986</v>
      </c>
      <c r="Z235" s="8"/>
    </row>
    <row r="236" spans="1:26" hidden="1" x14ac:dyDescent="0.25">
      <c r="A236" s="24" t="s">
        <v>201</v>
      </c>
      <c r="B236" s="4">
        <v>9923</v>
      </c>
      <c r="C236" s="4" t="s">
        <v>76</v>
      </c>
      <c r="D236" s="4" t="s">
        <v>168</v>
      </c>
      <c r="E236" s="4" t="s">
        <v>200</v>
      </c>
      <c r="F236" s="4" t="s">
        <v>155</v>
      </c>
      <c r="G236" s="4">
        <v>992301</v>
      </c>
      <c r="H236" s="4">
        <f>Tabel1[[#This Row],[Stald_kode]]+Tabel1[[#This Row],[Dyr_Kode]]</f>
        <v>1002224</v>
      </c>
      <c r="I236" s="12">
        <v>0</v>
      </c>
      <c r="J236" s="4" t="s">
        <v>125</v>
      </c>
      <c r="K236" s="4"/>
      <c r="L236" s="19" t="s">
        <v>195</v>
      </c>
      <c r="M236" s="19" t="s">
        <v>195</v>
      </c>
      <c r="N236" s="19"/>
      <c r="O236" s="13">
        <v>4.5199999999999996</v>
      </c>
      <c r="P236" s="13">
        <v>0.26</v>
      </c>
      <c r="Q236" s="7">
        <v>0</v>
      </c>
      <c r="R236" s="7">
        <v>0</v>
      </c>
      <c r="S236" s="19" t="s">
        <v>195</v>
      </c>
      <c r="T236" s="19" t="s">
        <v>195</v>
      </c>
      <c r="U236" s="7">
        <v>10.14</v>
      </c>
      <c r="V236" s="7">
        <v>0.25</v>
      </c>
      <c r="W236" s="19" t="s">
        <v>195</v>
      </c>
      <c r="X236" s="82" t="s">
        <v>195</v>
      </c>
      <c r="Z236" s="8"/>
    </row>
    <row r="237" spans="1:26" hidden="1" x14ac:dyDescent="0.25">
      <c r="A237" s="25" t="s">
        <v>2</v>
      </c>
      <c r="B237" s="78">
        <v>1502</v>
      </c>
      <c r="C237" s="4" t="s">
        <v>187</v>
      </c>
      <c r="D237" s="4" t="s">
        <v>169</v>
      </c>
      <c r="E237" s="4" t="s">
        <v>190</v>
      </c>
      <c r="F237" s="4" t="s">
        <v>103</v>
      </c>
      <c r="G237" s="4">
        <v>150205</v>
      </c>
      <c r="H237" s="4">
        <f>Tabel1[[#This Row],[Stald_kode]]+Tabel1[[#This Row],[Dyr_Kode]]</f>
        <v>151707</v>
      </c>
      <c r="I237" s="12">
        <v>0</v>
      </c>
      <c r="J237" s="4" t="s">
        <v>125</v>
      </c>
      <c r="K237" s="4"/>
      <c r="L237" s="14">
        <v>1.26</v>
      </c>
      <c r="M237" s="14">
        <v>7.6999999999999999E-2</v>
      </c>
      <c r="N237" s="14">
        <f>Tabel1[[#This Row],[Antal dyr i Kommunen 2018]]*Tabel1[[#This Row],[Gødning (g) pr. dyr (ton)]]</f>
        <v>0</v>
      </c>
      <c r="O237" s="15"/>
      <c r="P237" s="14"/>
      <c r="Q237" s="7">
        <v>0</v>
      </c>
      <c r="R237" s="7">
        <v>181</v>
      </c>
      <c r="S237" s="13">
        <f t="shared" ref="S237:S270" si="29">(L237*1000)/365*M237*(365-Q237)*0.8+(O237*1000)/365*P237*(365-Q237)*(1-0.045/100)</f>
        <v>77.616</v>
      </c>
      <c r="T237" s="9">
        <f>(L237*1000)/365*M237*0.8*Q237</f>
        <v>0</v>
      </c>
      <c r="U237" s="7">
        <v>1</v>
      </c>
      <c r="V237" s="7">
        <v>0.45</v>
      </c>
      <c r="W237" s="9">
        <f t="shared" ref="W237:W270" si="30">(S237*U237/100*0.67*V237)+(T237*U237/100*0.67*V237)</f>
        <v>0.23401224000000001</v>
      </c>
      <c r="X237" s="79">
        <f>(W237*I237)/1000</f>
        <v>0</v>
      </c>
      <c r="Z237" s="8"/>
    </row>
    <row r="238" spans="1:26" hidden="1" x14ac:dyDescent="0.25">
      <c r="A238" s="24" t="s">
        <v>2</v>
      </c>
      <c r="B238" s="4">
        <v>1502</v>
      </c>
      <c r="C238" s="4" t="s">
        <v>187</v>
      </c>
      <c r="D238" s="4" t="s">
        <v>169</v>
      </c>
      <c r="E238" s="4" t="s">
        <v>26</v>
      </c>
      <c r="F238" s="4" t="s">
        <v>158</v>
      </c>
      <c r="G238" s="4">
        <v>150201</v>
      </c>
      <c r="H238" s="4">
        <f>Tabel1[[#This Row],[Stald_kode]]+Tabel1[[#This Row],[Dyr_Kode]]</f>
        <v>151703</v>
      </c>
      <c r="I238" s="12">
        <v>0</v>
      </c>
      <c r="J238" s="4" t="s">
        <v>122</v>
      </c>
      <c r="K238" s="4"/>
      <c r="L238" s="14">
        <v>1.64</v>
      </c>
      <c r="M238" s="14">
        <v>4.4999999999999998E-2</v>
      </c>
      <c r="N238" s="14">
        <f>Tabel1[[#This Row],[Antal dyr i Kommunen 2018]]*Tabel1[[#This Row],[Gødning (g) pr. dyr (ton)]]</f>
        <v>0</v>
      </c>
      <c r="O238" s="15"/>
      <c r="P238" s="14"/>
      <c r="Q238" s="7">
        <v>0</v>
      </c>
      <c r="R238" s="7">
        <v>181</v>
      </c>
      <c r="S238" s="13">
        <f t="shared" si="29"/>
        <v>59.04</v>
      </c>
      <c r="T238" s="9">
        <f>(L238*1000)/365*M238*0.8*Q238</f>
        <v>0</v>
      </c>
      <c r="U238" s="7">
        <v>13.7</v>
      </c>
      <c r="V238" s="7">
        <v>0.45</v>
      </c>
      <c r="W238" s="9">
        <f t="shared" si="30"/>
        <v>2.4386767200000001</v>
      </c>
      <c r="X238" s="79">
        <f>(W238*I238)/1000</f>
        <v>0</v>
      </c>
      <c r="Z238" s="8"/>
    </row>
    <row r="239" spans="1:26" hidden="1" x14ac:dyDescent="0.25">
      <c r="A239" s="25" t="s">
        <v>2</v>
      </c>
      <c r="B239" s="78">
        <v>1502</v>
      </c>
      <c r="C239" s="4" t="s">
        <v>187</v>
      </c>
      <c r="D239" s="4" t="s">
        <v>169</v>
      </c>
      <c r="E239" s="4" t="s">
        <v>27</v>
      </c>
      <c r="F239" s="4" t="s">
        <v>158</v>
      </c>
      <c r="G239" s="4">
        <v>150202</v>
      </c>
      <c r="H239" s="4">
        <f>Tabel1[[#This Row],[Stald_kode]]+Tabel1[[#This Row],[Dyr_Kode]]</f>
        <v>151704</v>
      </c>
      <c r="I239" s="12">
        <v>0</v>
      </c>
      <c r="J239" s="4" t="s">
        <v>122</v>
      </c>
      <c r="K239" s="4"/>
      <c r="L239" s="14">
        <v>1.64</v>
      </c>
      <c r="M239" s="14">
        <v>4.4999999999999998E-2</v>
      </c>
      <c r="N239" s="14">
        <f>Tabel1[[#This Row],[Antal dyr i Kommunen 2018]]*Tabel1[[#This Row],[Gødning (g) pr. dyr (ton)]]</f>
        <v>0</v>
      </c>
      <c r="O239" s="15"/>
      <c r="P239" s="14"/>
      <c r="Q239" s="7">
        <v>0</v>
      </c>
      <c r="R239" s="7">
        <v>181</v>
      </c>
      <c r="S239" s="13">
        <f t="shared" si="29"/>
        <v>59.04</v>
      </c>
      <c r="T239" s="9">
        <f>(L239*1000)/365*M239*0.8*Q239</f>
        <v>0</v>
      </c>
      <c r="U239" s="7">
        <v>13.7</v>
      </c>
      <c r="V239" s="7">
        <v>0.45</v>
      </c>
      <c r="W239" s="9">
        <f t="shared" si="30"/>
        <v>2.4386767200000001</v>
      </c>
      <c r="X239" s="79">
        <f>(W239*I239)/1000</f>
        <v>0</v>
      </c>
      <c r="Z239" s="8"/>
    </row>
    <row r="240" spans="1:26" hidden="1" x14ac:dyDescent="0.25">
      <c r="A240" s="24" t="s">
        <v>2</v>
      </c>
      <c r="B240" s="4">
        <v>1501</v>
      </c>
      <c r="C240" s="4" t="s">
        <v>188</v>
      </c>
      <c r="D240" s="4" t="s">
        <v>169</v>
      </c>
      <c r="E240" s="4" t="s">
        <v>23</v>
      </c>
      <c r="F240" s="4" t="s">
        <v>158</v>
      </c>
      <c r="G240" s="4">
        <v>150101</v>
      </c>
      <c r="H240" s="4">
        <f>Tabel1[[#This Row],[Stald_kode]]+Tabel1[[#This Row],[Dyr_Kode]]</f>
        <v>151602</v>
      </c>
      <c r="I240" s="12">
        <v>0</v>
      </c>
      <c r="J240" s="4" t="s">
        <v>122</v>
      </c>
      <c r="K240" s="4"/>
      <c r="L240" s="14">
        <v>4.01</v>
      </c>
      <c r="M240" s="14">
        <v>4.4999999999999998E-2</v>
      </c>
      <c r="N240" s="14">
        <f>Tabel1[[#This Row],[Antal dyr i Kommunen 2018]]*Tabel1[[#This Row],[Gødning (g) pr. dyr (ton)]]</f>
        <v>0</v>
      </c>
      <c r="O240" s="15"/>
      <c r="P240" s="14"/>
      <c r="Q240" s="7">
        <v>0</v>
      </c>
      <c r="R240" s="7">
        <v>181</v>
      </c>
      <c r="S240" s="13">
        <f t="shared" si="29"/>
        <v>144.35999999999999</v>
      </c>
      <c r="T240" s="9">
        <f>(L240*1000)/365*M240*0.8*Q240</f>
        <v>0</v>
      </c>
      <c r="U240" s="7">
        <v>13.4</v>
      </c>
      <c r="V240" s="7">
        <v>0.45</v>
      </c>
      <c r="W240" s="9">
        <f t="shared" si="30"/>
        <v>5.8322883600000006</v>
      </c>
      <c r="X240" s="79">
        <f>(W240*I240)/1000</f>
        <v>0</v>
      </c>
      <c r="Z240" s="8"/>
    </row>
    <row r="241" spans="1:26" hidden="1" x14ac:dyDescent="0.25">
      <c r="A241" s="24" t="s">
        <v>2</v>
      </c>
      <c r="B241" s="4">
        <v>1501</v>
      </c>
      <c r="C241" s="4" t="s">
        <v>188</v>
      </c>
      <c r="D241" s="4" t="s">
        <v>169</v>
      </c>
      <c r="E241" s="4" t="s">
        <v>24</v>
      </c>
      <c r="F241" s="4" t="s">
        <v>158</v>
      </c>
      <c r="G241" s="28">
        <v>150108</v>
      </c>
      <c r="H241" s="28">
        <f>Tabel1[[#This Row],[Stald_kode]]+Tabel1[[#This Row],[Dyr_Kode]]</f>
        <v>151609</v>
      </c>
      <c r="I241" s="12">
        <v>0</v>
      </c>
      <c r="J241" s="4" t="s">
        <v>124</v>
      </c>
      <c r="K241" s="4"/>
      <c r="L241" s="14">
        <v>1.75</v>
      </c>
      <c r="M241" s="14">
        <v>2.5000000000000001E-2</v>
      </c>
      <c r="N241" s="14">
        <f>Tabel1[[#This Row],[Antal dyr i Kommunen 2018]]*Tabel1[[#This Row],[Gødning (g) pr. dyr (ton)]]</f>
        <v>0</v>
      </c>
      <c r="O241" s="15"/>
      <c r="P241" s="14"/>
      <c r="Q241" s="7">
        <v>0</v>
      </c>
      <c r="R241" s="7">
        <v>181</v>
      </c>
      <c r="S241" s="13">
        <f t="shared" si="29"/>
        <v>35</v>
      </c>
      <c r="T241" s="9">
        <f>(L241*1000)/365*M241*0.8*Q241</f>
        <v>0</v>
      </c>
      <c r="U241" s="7">
        <v>2</v>
      </c>
      <c r="V241" s="7">
        <v>0.45</v>
      </c>
      <c r="W241" s="9">
        <f t="shared" si="30"/>
        <v>0.21104999999999999</v>
      </c>
      <c r="X241" s="69">
        <f>W241*I241</f>
        <v>0</v>
      </c>
      <c r="Z241" s="8"/>
    </row>
    <row r="242" spans="1:26" hidden="1" x14ac:dyDescent="0.25">
      <c r="A242" s="26" t="s">
        <v>2</v>
      </c>
      <c r="B242" s="80"/>
      <c r="C242" s="4" t="s">
        <v>188</v>
      </c>
      <c r="D242" s="4" t="s">
        <v>169</v>
      </c>
      <c r="E242" s="4" t="s">
        <v>24</v>
      </c>
      <c r="F242" s="4" t="s">
        <v>158</v>
      </c>
      <c r="G242" s="4"/>
      <c r="H242" s="4">
        <f>Tabel1[[#This Row],[Stald_kode]]+Tabel1[[#This Row],[Dyr_Kode]]</f>
        <v>0</v>
      </c>
      <c r="I242" s="12"/>
      <c r="J242" s="4"/>
      <c r="K242" s="4" t="s">
        <v>127</v>
      </c>
      <c r="L242" s="15"/>
      <c r="M242" s="15"/>
      <c r="N242" s="14">
        <f>Tabel1[[#This Row],[Antal dyr i Kommunen 2018]]*Tabel1[[#This Row],[Gødning (g) pr. dyr (ton)]]</f>
        <v>0</v>
      </c>
      <c r="O242" s="13">
        <v>1.73</v>
      </c>
      <c r="P242" s="13">
        <v>2.5000000000000001E-2</v>
      </c>
      <c r="Q242" s="7">
        <v>0</v>
      </c>
      <c r="R242" s="7">
        <v>181</v>
      </c>
      <c r="S242" s="13">
        <f t="shared" si="29"/>
        <v>43.230537500000011</v>
      </c>
      <c r="T242" s="9">
        <f>(O242*1000)/365*P242*0.8*Q242</f>
        <v>0</v>
      </c>
      <c r="U242" s="7">
        <v>13.7</v>
      </c>
      <c r="V242" s="7">
        <v>0.45</v>
      </c>
      <c r="W242" s="9">
        <f t="shared" si="30"/>
        <v>1.7856589667062506</v>
      </c>
      <c r="X242" s="79">
        <f>(W242*I241)/1000</f>
        <v>0</v>
      </c>
      <c r="Z242" s="8"/>
    </row>
    <row r="243" spans="1:26" hidden="1" x14ac:dyDescent="0.25">
      <c r="A243" s="24" t="s">
        <v>2</v>
      </c>
      <c r="B243" s="4">
        <v>1501</v>
      </c>
      <c r="C243" s="4" t="s">
        <v>188</v>
      </c>
      <c r="D243" s="4" t="s">
        <v>169</v>
      </c>
      <c r="E243" s="4" t="s">
        <v>25</v>
      </c>
      <c r="F243" s="4" t="s">
        <v>158</v>
      </c>
      <c r="G243" s="4">
        <v>150107</v>
      </c>
      <c r="H243" s="4">
        <f>Tabel1[[#This Row],[Stald_kode]]+Tabel1[[#This Row],[Dyr_Kode]]</f>
        <v>151608</v>
      </c>
      <c r="I243" s="12">
        <v>0</v>
      </c>
      <c r="J243" s="4" t="s">
        <v>122</v>
      </c>
      <c r="K243" s="4"/>
      <c r="L243" s="14">
        <v>4.7300000000000004</v>
      </c>
      <c r="M243" s="14">
        <v>4.4999999999999998E-2</v>
      </c>
      <c r="N243" s="14">
        <f>Tabel1[[#This Row],[Antal dyr i Kommunen 2018]]*Tabel1[[#This Row],[Gødning (g) pr. dyr (ton)]]</f>
        <v>0</v>
      </c>
      <c r="O243" s="15"/>
      <c r="P243" s="14"/>
      <c r="Q243" s="7">
        <v>0</v>
      </c>
      <c r="R243" s="7">
        <v>181</v>
      </c>
      <c r="S243" s="13">
        <f t="shared" si="29"/>
        <v>170.27999999999997</v>
      </c>
      <c r="T243" s="9">
        <f>(L243*1000)/365*M243*0.8*Q243</f>
        <v>0</v>
      </c>
      <c r="U243" s="7">
        <v>13.4</v>
      </c>
      <c r="V243" s="7">
        <v>0.45</v>
      </c>
      <c r="W243" s="9">
        <f t="shared" si="30"/>
        <v>6.8794822799999986</v>
      </c>
      <c r="X243" s="79">
        <f>(W243*I243)/1000</f>
        <v>0</v>
      </c>
      <c r="Z243" s="8"/>
    </row>
    <row r="244" spans="1:26" hidden="1" x14ac:dyDescent="0.25">
      <c r="A244" s="25" t="s">
        <v>2</v>
      </c>
      <c r="B244" s="78">
        <v>1501</v>
      </c>
      <c r="C244" s="4" t="s">
        <v>188</v>
      </c>
      <c r="D244" s="4" t="s">
        <v>169</v>
      </c>
      <c r="E244" s="4" t="s">
        <v>22</v>
      </c>
      <c r="F244" s="4" t="s">
        <v>29</v>
      </c>
      <c r="G244" s="4">
        <v>150106</v>
      </c>
      <c r="H244" s="4">
        <f>Tabel1[[#This Row],[Stald_kode]]+Tabel1[[#This Row],[Dyr_Kode]]</f>
        <v>151607</v>
      </c>
      <c r="I244" s="12">
        <v>0</v>
      </c>
      <c r="J244" s="15"/>
      <c r="K244" s="4" t="s">
        <v>29</v>
      </c>
      <c r="L244" s="14"/>
      <c r="M244" s="14"/>
      <c r="N244" s="14">
        <f>Tabel1[[#This Row],[Antal dyr i Kommunen 2018]]*Tabel1[[#This Row],[Gødning (g) pr. dyr (ton)]]</f>
        <v>0</v>
      </c>
      <c r="O244" s="14">
        <v>1.78</v>
      </c>
      <c r="P244" s="14">
        <v>0.33</v>
      </c>
      <c r="Q244" s="7">
        <v>0</v>
      </c>
      <c r="R244" s="7">
        <v>181</v>
      </c>
      <c r="S244" s="13">
        <f t="shared" si="29"/>
        <v>587.13567</v>
      </c>
      <c r="T244" s="9">
        <f>(O244*1000)/365*P244*0.8*Q244</f>
        <v>0</v>
      </c>
      <c r="U244" s="7">
        <v>14.7</v>
      </c>
      <c r="V244" s="7">
        <v>0.45</v>
      </c>
      <c r="W244" s="9">
        <f t="shared" si="30"/>
        <v>26.022146462235003</v>
      </c>
      <c r="X244" s="79">
        <f>(W244*I244)/1000</f>
        <v>0</v>
      </c>
      <c r="Z244" s="8"/>
    </row>
    <row r="245" spans="1:26" hidden="1" x14ac:dyDescent="0.25">
      <c r="A245" s="25" t="s">
        <v>2</v>
      </c>
      <c r="B245" s="78">
        <v>1501</v>
      </c>
      <c r="C245" s="4" t="s">
        <v>188</v>
      </c>
      <c r="D245" s="4" t="s">
        <v>169</v>
      </c>
      <c r="E245" s="4" t="s">
        <v>20</v>
      </c>
      <c r="F245" s="4" t="s">
        <v>29</v>
      </c>
      <c r="G245" s="4">
        <v>150105</v>
      </c>
      <c r="H245" s="4">
        <f>Tabel1[[#This Row],[Stald_kode]]+Tabel1[[#This Row],[Dyr_Kode]]</f>
        <v>151606</v>
      </c>
      <c r="I245" s="12">
        <v>0</v>
      </c>
      <c r="J245" s="4" t="s">
        <v>122</v>
      </c>
      <c r="K245" s="4"/>
      <c r="L245" s="14">
        <v>2.2000000000000002</v>
      </c>
      <c r="M245" s="14">
        <v>5.5E-2</v>
      </c>
      <c r="N245" s="14">
        <f>Tabel1[[#This Row],[Antal dyr i Kommunen 2018]]*Tabel1[[#This Row],[Gødning (g) pr. dyr (ton)]]</f>
        <v>0</v>
      </c>
      <c r="O245" s="15"/>
      <c r="P245" s="14"/>
      <c r="Q245" s="7">
        <v>0</v>
      </c>
      <c r="R245" s="7">
        <v>181</v>
      </c>
      <c r="S245" s="13">
        <f t="shared" si="29"/>
        <v>96.800000000000011</v>
      </c>
      <c r="T245" s="9">
        <f>(L245*1000)/365*M245*0.8*Q245</f>
        <v>0</v>
      </c>
      <c r="U245" s="7">
        <v>13.4</v>
      </c>
      <c r="V245" s="7">
        <v>0.45</v>
      </c>
      <c r="W245" s="9">
        <f t="shared" si="30"/>
        <v>3.910816800000001</v>
      </c>
      <c r="X245" s="79">
        <f>(W245*I245)/1000</f>
        <v>0</v>
      </c>
      <c r="Z245" s="8"/>
    </row>
    <row r="246" spans="1:26" hidden="1" x14ac:dyDescent="0.25">
      <c r="A246" s="25" t="s">
        <v>2</v>
      </c>
      <c r="B246" s="78">
        <v>1501</v>
      </c>
      <c r="C246" s="4" t="s">
        <v>188</v>
      </c>
      <c r="D246" s="4" t="s">
        <v>169</v>
      </c>
      <c r="E246" s="4" t="s">
        <v>21</v>
      </c>
      <c r="F246" s="4" t="s">
        <v>29</v>
      </c>
      <c r="G246" s="4">
        <v>150104</v>
      </c>
      <c r="H246" s="4">
        <f>Tabel1[[#This Row],[Stald_kode]]+Tabel1[[#This Row],[Dyr_Kode]]</f>
        <v>151605</v>
      </c>
      <c r="I246" s="12">
        <v>0</v>
      </c>
      <c r="J246" s="4" t="s">
        <v>122</v>
      </c>
      <c r="K246" s="4"/>
      <c r="L246" s="14">
        <v>2.2000000000000002</v>
      </c>
      <c r="M246" s="14">
        <v>5.5E-2</v>
      </c>
      <c r="N246" s="14">
        <f>Tabel1[[#This Row],[Antal dyr i Kommunen 2018]]*Tabel1[[#This Row],[Gødning (g) pr. dyr (ton)]]</f>
        <v>0</v>
      </c>
      <c r="O246" s="15"/>
      <c r="P246" s="14"/>
      <c r="Q246" s="7">
        <v>0</v>
      </c>
      <c r="R246" s="7">
        <v>181</v>
      </c>
      <c r="S246" s="13">
        <f t="shared" si="29"/>
        <v>96.800000000000011</v>
      </c>
      <c r="T246" s="9">
        <f>(L246*1000)/365*M246*0.8*Q246</f>
        <v>0</v>
      </c>
      <c r="U246" s="7">
        <v>13.4</v>
      </c>
      <c r="V246" s="7">
        <v>0.45</v>
      </c>
      <c r="W246" s="9">
        <f t="shared" si="30"/>
        <v>3.910816800000001</v>
      </c>
      <c r="X246" s="79">
        <f>(W246*I246)/1000</f>
        <v>0</v>
      </c>
      <c r="Z246" s="8"/>
    </row>
    <row r="247" spans="1:26" hidden="1" x14ac:dyDescent="0.25">
      <c r="A247" s="26" t="s">
        <v>2</v>
      </c>
      <c r="B247" s="80"/>
      <c r="C247" s="4" t="s">
        <v>189</v>
      </c>
      <c r="D247" s="4" t="s">
        <v>169</v>
      </c>
      <c r="E247" s="4" t="s">
        <v>20</v>
      </c>
      <c r="F247" s="4" t="s">
        <v>29</v>
      </c>
      <c r="G247" s="4"/>
      <c r="H247" s="4">
        <f>Tabel1[[#This Row],[Stald_kode]]+Tabel1[[#This Row],[Dyr_Kode]]</f>
        <v>0</v>
      </c>
      <c r="I247" s="12"/>
      <c r="J247" s="4"/>
      <c r="K247" s="4" t="s">
        <v>29</v>
      </c>
      <c r="L247" s="15"/>
      <c r="M247" s="15"/>
      <c r="N247" s="14">
        <f>Tabel1[[#This Row],[Antal dyr i Kommunen 2018]]*Tabel1[[#This Row],[Gødning (g) pr. dyr (ton)]]</f>
        <v>0</v>
      </c>
      <c r="O247" s="13">
        <v>0.67</v>
      </c>
      <c r="P247" s="13">
        <v>0.33</v>
      </c>
      <c r="Q247" s="7">
        <v>0</v>
      </c>
      <c r="R247" s="7">
        <v>181</v>
      </c>
      <c r="S247" s="13">
        <f t="shared" si="29"/>
        <v>221.000505</v>
      </c>
      <c r="T247" s="9">
        <f>(O247*1000)/365*P247*0.8*Q247</f>
        <v>0</v>
      </c>
      <c r="U247" s="7">
        <v>14.7</v>
      </c>
      <c r="V247" s="7">
        <v>0.45</v>
      </c>
      <c r="W247" s="9">
        <f t="shared" si="30"/>
        <v>9.7948528818525027</v>
      </c>
      <c r="X247" s="79">
        <f>(Tabel1[[#This Row],[CH4 pr. dyr (Kg)]]*I245)/1000</f>
        <v>0</v>
      </c>
      <c r="Z247" s="8"/>
    </row>
    <row r="248" spans="1:26" hidden="1" x14ac:dyDescent="0.25">
      <c r="A248" s="26" t="s">
        <v>2</v>
      </c>
      <c r="B248" s="80"/>
      <c r="C248" s="4" t="s">
        <v>189</v>
      </c>
      <c r="D248" s="4" t="s">
        <v>169</v>
      </c>
      <c r="E248" s="4" t="s">
        <v>21</v>
      </c>
      <c r="F248" s="4" t="s">
        <v>29</v>
      </c>
      <c r="G248" s="4"/>
      <c r="H248" s="4">
        <f>Tabel1[[#This Row],[Stald_kode]]+Tabel1[[#This Row],[Dyr_Kode]]</f>
        <v>0</v>
      </c>
      <c r="I248" s="12"/>
      <c r="J248" s="4"/>
      <c r="K248" s="4" t="s">
        <v>29</v>
      </c>
      <c r="L248" s="15"/>
      <c r="M248" s="15"/>
      <c r="N248" s="14">
        <f>Tabel1[[#This Row],[Antal dyr i Kommunen 2018]]*Tabel1[[#This Row],[Gødning (g) pr. dyr (ton)]]</f>
        <v>0</v>
      </c>
      <c r="O248" s="13">
        <v>0.67</v>
      </c>
      <c r="P248" s="13">
        <v>0.33</v>
      </c>
      <c r="Q248" s="7">
        <v>0</v>
      </c>
      <c r="R248" s="7">
        <v>181</v>
      </c>
      <c r="S248" s="13">
        <f t="shared" si="29"/>
        <v>221.000505</v>
      </c>
      <c r="T248" s="9">
        <f>(O248*1000)/365*P248*0.8*Q248</f>
        <v>0</v>
      </c>
      <c r="U248" s="7">
        <v>14.7</v>
      </c>
      <c r="V248" s="7">
        <v>0.45</v>
      </c>
      <c r="W248" s="9">
        <f t="shared" si="30"/>
        <v>9.7948528818525027</v>
      </c>
      <c r="X248" s="79">
        <f>(Tabel1[[#This Row],[CH4 pr. dyr (Kg)]]*I246)/1000</f>
        <v>0</v>
      </c>
      <c r="Z248" s="8"/>
    </row>
    <row r="249" spans="1:26" hidden="1" x14ac:dyDescent="0.25">
      <c r="A249" s="24" t="s">
        <v>2</v>
      </c>
      <c r="B249" s="4">
        <v>1520</v>
      </c>
      <c r="C249" s="4" t="s">
        <v>55</v>
      </c>
      <c r="D249" s="4" t="s">
        <v>170</v>
      </c>
      <c r="E249" s="4" t="s">
        <v>95</v>
      </c>
      <c r="F249" s="4" t="s">
        <v>158</v>
      </c>
      <c r="G249" s="4">
        <v>152002</v>
      </c>
      <c r="H249" s="4">
        <f>Tabel1[[#This Row],[Stald_kode]]+Tabel1[[#This Row],[Dyr_Kode]]</f>
        <v>153522</v>
      </c>
      <c r="I249" s="12">
        <v>0</v>
      </c>
      <c r="J249" s="4" t="s">
        <v>122</v>
      </c>
      <c r="K249" s="4"/>
      <c r="L249" s="14">
        <v>0.56000000000000005</v>
      </c>
      <c r="M249" s="14">
        <v>6.6000000000000003E-2</v>
      </c>
      <c r="N249" s="14">
        <f>Tabel1[[#This Row],[Antal dyr i Kommunen 2018]]*Tabel1[[#This Row],[Gødning (g) pr. dyr (ton)]]</f>
        <v>0</v>
      </c>
      <c r="O249" s="13">
        <v>3.31</v>
      </c>
      <c r="P249" s="13">
        <v>0.3</v>
      </c>
      <c r="Q249" s="14">
        <v>0</v>
      </c>
      <c r="R249" s="14">
        <v>181</v>
      </c>
      <c r="S249" s="13">
        <f t="shared" si="29"/>
        <v>1022.1211500000001</v>
      </c>
      <c r="T249" s="13">
        <f>(L249*1000)/365*M249*0.8*Q249</f>
        <v>0</v>
      </c>
      <c r="U249" s="14">
        <v>13.4</v>
      </c>
      <c r="V249" s="14">
        <v>0.45</v>
      </c>
      <c r="W249" s="13">
        <f t="shared" si="30"/>
        <v>41.294716581150006</v>
      </c>
      <c r="X249" s="79">
        <f>(W249*I249)/1000</f>
        <v>0</v>
      </c>
      <c r="Z249" s="8"/>
    </row>
    <row r="250" spans="1:26" hidden="1" x14ac:dyDescent="0.25">
      <c r="A250" s="24" t="s">
        <v>2</v>
      </c>
      <c r="B250" s="4">
        <v>1520</v>
      </c>
      <c r="C250" s="4" t="s">
        <v>55</v>
      </c>
      <c r="D250" s="4" t="s">
        <v>170</v>
      </c>
      <c r="E250" s="4" t="s">
        <v>85</v>
      </c>
      <c r="F250" s="4" t="s">
        <v>158</v>
      </c>
      <c r="G250" s="4">
        <v>152003</v>
      </c>
      <c r="H250" s="4">
        <f>Tabel1[[#This Row],[Stald_kode]]+Tabel1[[#This Row],[Dyr_Kode]]</f>
        <v>153523</v>
      </c>
      <c r="I250" s="12">
        <v>0</v>
      </c>
      <c r="J250" s="4" t="s">
        <v>122</v>
      </c>
      <c r="K250" s="4"/>
      <c r="L250" s="13">
        <v>0.56000000000000005</v>
      </c>
      <c r="M250" s="13">
        <v>6.6000000000000003E-2</v>
      </c>
      <c r="N250" s="13">
        <f>Tabel1[[#This Row],[Antal dyr i Kommunen 2018]]*Tabel1[[#This Row],[Gødning (g) pr. dyr (ton)]]</f>
        <v>0</v>
      </c>
      <c r="O250" s="13">
        <f>0.75*365/1000</f>
        <v>0.27374999999999999</v>
      </c>
      <c r="P250" s="13">
        <v>0.85</v>
      </c>
      <c r="Q250" s="14">
        <v>0</v>
      </c>
      <c r="R250" s="14">
        <v>181</v>
      </c>
      <c r="S250" s="13">
        <f t="shared" si="29"/>
        <v>262.15079062499996</v>
      </c>
      <c r="T250" s="13">
        <f>(L250*1000)/365*M250*0.8*Q250</f>
        <v>0</v>
      </c>
      <c r="U250" s="14">
        <v>13.4</v>
      </c>
      <c r="V250" s="14">
        <v>0.45</v>
      </c>
      <c r="W250" s="13">
        <f t="shared" si="30"/>
        <v>10.591154092040625</v>
      </c>
      <c r="X250" s="79">
        <f>(W250*I250)/1000</f>
        <v>0</v>
      </c>
      <c r="Z250" s="8"/>
    </row>
    <row r="251" spans="1:26" hidden="1" x14ac:dyDescent="0.25">
      <c r="A251" s="24" t="s">
        <v>2</v>
      </c>
      <c r="B251" s="4">
        <v>1520</v>
      </c>
      <c r="C251" s="4" t="s">
        <v>55</v>
      </c>
      <c r="D251" s="4" t="s">
        <v>170</v>
      </c>
      <c r="E251" s="4" t="s">
        <v>32</v>
      </c>
      <c r="F251" s="4" t="s">
        <v>158</v>
      </c>
      <c r="G251" s="4">
        <v>152004</v>
      </c>
      <c r="H251" s="4">
        <f>Tabel1[[#This Row],[Stald_kode]]+Tabel1[[#This Row],[Dyr_Kode]]</f>
        <v>153524</v>
      </c>
      <c r="I251" s="12">
        <v>0</v>
      </c>
      <c r="J251" s="4" t="s">
        <v>122</v>
      </c>
      <c r="K251" s="4"/>
      <c r="L251" s="13">
        <v>0.56000000000000005</v>
      </c>
      <c r="M251" s="13">
        <v>6.0999999999999999E-2</v>
      </c>
      <c r="N251" s="13">
        <f>Tabel1[[#This Row],[Antal dyr i Kommunen 2018]]*Tabel1[[#This Row],[Gødning (g) pr. dyr (ton)]]</f>
        <v>0</v>
      </c>
      <c r="O251" s="13">
        <v>3.31</v>
      </c>
      <c r="P251" s="13">
        <v>0.3</v>
      </c>
      <c r="Q251" s="14">
        <v>0</v>
      </c>
      <c r="R251" s="14">
        <v>181</v>
      </c>
      <c r="S251" s="13">
        <f t="shared" si="29"/>
        <v>1019.88115</v>
      </c>
      <c r="T251" s="13">
        <f>(L251*1000)/365*M251*0.8*Q251</f>
        <v>0</v>
      </c>
      <c r="U251" s="14">
        <v>13.7</v>
      </c>
      <c r="V251" s="14">
        <v>0.45</v>
      </c>
      <c r="W251" s="13">
        <f t="shared" si="30"/>
        <v>42.126700841325004</v>
      </c>
      <c r="X251" s="79">
        <f>(W251*I251)/1000</f>
        <v>0</v>
      </c>
      <c r="Z251" s="8"/>
    </row>
    <row r="252" spans="1:26" hidden="1" x14ac:dyDescent="0.25">
      <c r="A252" s="25" t="s">
        <v>2</v>
      </c>
      <c r="B252" s="78">
        <v>1520</v>
      </c>
      <c r="C252" s="4" t="s">
        <v>55</v>
      </c>
      <c r="D252" s="4" t="s">
        <v>170</v>
      </c>
      <c r="E252" s="4" t="s">
        <v>29</v>
      </c>
      <c r="F252" s="4" t="s">
        <v>29</v>
      </c>
      <c r="G252" s="4">
        <v>152007</v>
      </c>
      <c r="H252" s="4">
        <f>Tabel1[[#This Row],[Stald_kode]]+Tabel1[[#This Row],[Dyr_Kode]]</f>
        <v>153527</v>
      </c>
      <c r="I252" s="12">
        <v>0</v>
      </c>
      <c r="J252" s="15"/>
      <c r="K252" s="4" t="s">
        <v>29</v>
      </c>
      <c r="L252" s="14"/>
      <c r="M252" s="14"/>
      <c r="N252" s="14">
        <f>Tabel1[[#This Row],[Antal dyr i Kommunen 2018]]*Tabel1[[#This Row],[Gødning (g) pr. dyr (ton)]]</f>
        <v>0</v>
      </c>
      <c r="O252" s="14">
        <v>0.18</v>
      </c>
      <c r="P252" s="14">
        <v>0.33</v>
      </c>
      <c r="Q252" s="7">
        <v>0</v>
      </c>
      <c r="R252" s="7">
        <v>181</v>
      </c>
      <c r="S252" s="13">
        <f t="shared" si="29"/>
        <v>59.373269999999998</v>
      </c>
      <c r="T252" s="9">
        <f>(O252*1000)/365*P252*0.8*Q252</f>
        <v>0</v>
      </c>
      <c r="U252" s="7">
        <v>11.4</v>
      </c>
      <c r="V252" s="7">
        <v>0.45</v>
      </c>
      <c r="W252" s="9">
        <f t="shared" si="30"/>
        <v>2.0407186631700003</v>
      </c>
      <c r="X252" s="79">
        <f>(W252*I252)/1000</f>
        <v>0</v>
      </c>
      <c r="Z252" s="8"/>
    </row>
    <row r="253" spans="1:26" hidden="1" x14ac:dyDescent="0.25">
      <c r="A253" s="25" t="s">
        <v>2</v>
      </c>
      <c r="B253" s="78">
        <v>1520</v>
      </c>
      <c r="C253" s="4" t="s">
        <v>55</v>
      </c>
      <c r="D253" s="4" t="s">
        <v>170</v>
      </c>
      <c r="E253" s="4" t="s">
        <v>31</v>
      </c>
      <c r="F253" s="4" t="s">
        <v>29</v>
      </c>
      <c r="G253" s="4">
        <v>152006</v>
      </c>
      <c r="H253" s="4">
        <f>Tabel1[[#This Row],[Stald_kode]]+Tabel1[[#This Row],[Dyr_Kode]]</f>
        <v>153526</v>
      </c>
      <c r="I253" s="12">
        <v>0</v>
      </c>
      <c r="J253" s="4" t="s">
        <v>122</v>
      </c>
      <c r="K253" s="4"/>
      <c r="L253" s="14">
        <v>0.35</v>
      </c>
      <c r="M253" s="14">
        <v>4.9000000000000002E-2</v>
      </c>
      <c r="N253" s="14">
        <f>Tabel1[[#This Row],[Antal dyr i Kommunen 2018]]*Tabel1[[#This Row],[Gødning (g) pr. dyr (ton)]]</f>
        <v>0</v>
      </c>
      <c r="O253" s="15"/>
      <c r="P253" s="14"/>
      <c r="Q253" s="7">
        <v>0</v>
      </c>
      <c r="R253" s="7">
        <v>181</v>
      </c>
      <c r="S253" s="13">
        <f t="shared" si="29"/>
        <v>13.720000000000002</v>
      </c>
      <c r="T253" s="9">
        <f>(L253*1000)/365*M253*0.8*Q253</f>
        <v>0</v>
      </c>
      <c r="U253" s="7">
        <v>13.4</v>
      </c>
      <c r="V253" s="7">
        <v>0.45</v>
      </c>
      <c r="W253" s="9">
        <f t="shared" si="30"/>
        <v>0.55430172000000022</v>
      </c>
      <c r="X253" s="79">
        <f>(W253*I253)/1000</f>
        <v>0</v>
      </c>
      <c r="Z253" s="8"/>
    </row>
    <row r="254" spans="1:26" hidden="1" x14ac:dyDescent="0.25">
      <c r="A254" s="26" t="s">
        <v>2</v>
      </c>
      <c r="B254" s="80"/>
      <c r="C254" s="4" t="s">
        <v>55</v>
      </c>
      <c r="D254" s="4" t="s">
        <v>170</v>
      </c>
      <c r="E254" s="4" t="s">
        <v>31</v>
      </c>
      <c r="F254" s="4" t="s">
        <v>29</v>
      </c>
      <c r="G254" s="4"/>
      <c r="H254" s="4">
        <f>Tabel1[[#This Row],[Stald_kode]]+Tabel1[[#This Row],[Dyr_Kode]]</f>
        <v>0</v>
      </c>
      <c r="I254" s="12"/>
      <c r="J254" s="4"/>
      <c r="K254" s="4" t="s">
        <v>29</v>
      </c>
      <c r="L254" s="15"/>
      <c r="M254" s="15"/>
      <c r="N254" s="14">
        <f>Tabel1[[#This Row],[Antal dyr i Kommunen 2018]]*Tabel1[[#This Row],[Gødning (g) pr. dyr (ton)]]</f>
        <v>0</v>
      </c>
      <c r="O254" s="13">
        <v>0.09</v>
      </c>
      <c r="P254" s="13">
        <v>0.33</v>
      </c>
      <c r="Q254" s="7">
        <v>0</v>
      </c>
      <c r="R254" s="7">
        <v>181</v>
      </c>
      <c r="S254" s="13">
        <f t="shared" si="29"/>
        <v>29.686634999999999</v>
      </c>
      <c r="T254" s="9">
        <f>(O254*1000)/365*P254*0.8*Q254</f>
        <v>0</v>
      </c>
      <c r="U254" s="7">
        <v>14.7</v>
      </c>
      <c r="V254" s="7">
        <v>0.45</v>
      </c>
      <c r="W254" s="9">
        <f t="shared" si="30"/>
        <v>1.3157265065175001</v>
      </c>
      <c r="X254" s="79">
        <f>(Tabel1[[#This Row],[CH4 pr. dyr (Kg)]]*I253)/1000</f>
        <v>0</v>
      </c>
      <c r="Z254" s="8"/>
    </row>
    <row r="255" spans="1:26" hidden="1" x14ac:dyDescent="0.25">
      <c r="A255" s="25" t="s">
        <v>2</v>
      </c>
      <c r="B255" s="78">
        <v>1520</v>
      </c>
      <c r="C255" s="4" t="s">
        <v>55</v>
      </c>
      <c r="D255" s="4" t="s">
        <v>170</v>
      </c>
      <c r="E255" s="4" t="s">
        <v>28</v>
      </c>
      <c r="F255" s="4" t="s">
        <v>159</v>
      </c>
      <c r="G255" s="4">
        <v>152005</v>
      </c>
      <c r="H255" s="4">
        <f>Tabel1[[#This Row],[Stald_kode]]+Tabel1[[#This Row],[Dyr_Kode]]</f>
        <v>153525</v>
      </c>
      <c r="I255" s="12">
        <v>0</v>
      </c>
      <c r="J255" s="4" t="s">
        <v>124</v>
      </c>
      <c r="K255" s="4"/>
      <c r="L255" s="15">
        <v>0.11</v>
      </c>
      <c r="M255" s="15">
        <v>0.23</v>
      </c>
      <c r="N255" s="14">
        <f>Tabel1[[#This Row],[Antal dyr i Kommunen 2018]]*Tabel1[[#This Row],[Gødning (g) pr. dyr (ton)]]</f>
        <v>0</v>
      </c>
      <c r="O255" s="15"/>
      <c r="P255" s="14"/>
      <c r="Q255" s="7">
        <v>0</v>
      </c>
      <c r="R255" s="7">
        <v>181</v>
      </c>
      <c r="S255" s="13">
        <f t="shared" si="29"/>
        <v>20.239999999999998</v>
      </c>
      <c r="T255" s="9">
        <f>(L255*1000)/365*M255*0.8*Q255</f>
        <v>0</v>
      </c>
      <c r="U255" s="7">
        <v>2</v>
      </c>
      <c r="V255" s="7">
        <v>0.45</v>
      </c>
      <c r="W255" s="9">
        <f t="shared" si="30"/>
        <v>0.12204720000000001</v>
      </c>
      <c r="X255" s="79">
        <f>(W255*I255)/1000</f>
        <v>0</v>
      </c>
      <c r="Z255" s="8"/>
    </row>
    <row r="256" spans="1:26" hidden="1" x14ac:dyDescent="0.25">
      <c r="A256" s="26" t="s">
        <v>2</v>
      </c>
      <c r="B256" s="80"/>
      <c r="C256" s="4" t="s">
        <v>55</v>
      </c>
      <c r="D256" s="4" t="s">
        <v>170</v>
      </c>
      <c r="E256" s="4" t="s">
        <v>28</v>
      </c>
      <c r="F256" s="4" t="s">
        <v>159</v>
      </c>
      <c r="G256" s="4"/>
      <c r="H256" s="4">
        <f>Tabel1[[#This Row],[Stald_kode]]+Tabel1[[#This Row],[Dyr_Kode]]</f>
        <v>0</v>
      </c>
      <c r="I256" s="12"/>
      <c r="J256" s="4" t="s">
        <v>127</v>
      </c>
      <c r="K256" s="15"/>
      <c r="L256" s="13">
        <v>0.37</v>
      </c>
      <c r="M256" s="13">
        <v>0.02</v>
      </c>
      <c r="N256" s="13">
        <f>Tabel1[[#This Row],[Antal dyr i Kommunen 2018]]*Tabel1[[#This Row],[Gødning (g) pr. dyr (ton)]]</f>
        <v>0</v>
      </c>
      <c r="O256" s="14"/>
      <c r="P256" s="14"/>
      <c r="Q256" s="7">
        <v>0</v>
      </c>
      <c r="R256" s="7">
        <v>181</v>
      </c>
      <c r="S256" s="13">
        <f t="shared" si="29"/>
        <v>5.9200000000000008</v>
      </c>
      <c r="T256" s="9">
        <f>(L256*1000)/365*M256*0.8*Q256</f>
        <v>0</v>
      </c>
      <c r="U256" s="7">
        <v>13.4</v>
      </c>
      <c r="V256" s="7">
        <v>0.45</v>
      </c>
      <c r="W256" s="9">
        <f t="shared" si="30"/>
        <v>0.23917392000000007</v>
      </c>
      <c r="X256" s="79">
        <f>(Tabel1[[#This Row],[CH4 pr. dyr (Kg)]]*I255)/1000</f>
        <v>0</v>
      </c>
      <c r="Z256" s="8"/>
    </row>
    <row r="257" spans="1:26" hidden="1" x14ac:dyDescent="0.25">
      <c r="A257" s="24" t="s">
        <v>2</v>
      </c>
      <c r="B257" s="4">
        <v>1512</v>
      </c>
      <c r="C257" s="4" t="s">
        <v>202</v>
      </c>
      <c r="D257" s="4" t="s">
        <v>171</v>
      </c>
      <c r="E257" s="68" t="s">
        <v>185</v>
      </c>
      <c r="F257" s="4" t="s">
        <v>158</v>
      </c>
      <c r="G257" s="4">
        <v>151208</v>
      </c>
      <c r="H257" s="4">
        <f>Tabel1[[#This Row],[Stald_kode]]+Tabel1[[#This Row],[Dyr_Kode]]</f>
        <v>152720</v>
      </c>
      <c r="I257" s="12">
        <v>0</v>
      </c>
      <c r="J257" s="4" t="s">
        <v>122</v>
      </c>
      <c r="K257" s="4"/>
      <c r="L257" s="14">
        <v>0.55000000000000004</v>
      </c>
      <c r="M257" s="14">
        <v>6.6000000000000003E-2</v>
      </c>
      <c r="N257" s="14">
        <f>Tabel1[[#This Row],[Antal dyr i Kommunen 2018]]*Tabel1[[#This Row],[Gødning (g) pr. dyr (ton)]]</f>
        <v>0</v>
      </c>
      <c r="O257" s="15"/>
      <c r="P257" s="14"/>
      <c r="Q257" s="7">
        <v>0</v>
      </c>
      <c r="R257" s="7">
        <v>181</v>
      </c>
      <c r="S257" s="13">
        <f t="shared" si="29"/>
        <v>29.040000000000006</v>
      </c>
      <c r="T257" s="9">
        <f>(L257*1000)/365*M257*0.8*Q257</f>
        <v>0</v>
      </c>
      <c r="U257" s="14">
        <v>13.4</v>
      </c>
      <c r="V257" s="7">
        <v>0.45</v>
      </c>
      <c r="W257" s="9">
        <f t="shared" si="30"/>
        <v>1.1732450400000003</v>
      </c>
      <c r="X257" s="79">
        <f>(W257*I257)/1000</f>
        <v>0</v>
      </c>
      <c r="Z257" s="8"/>
    </row>
    <row r="258" spans="1:26" hidden="1" x14ac:dyDescent="0.25">
      <c r="A258" s="24" t="s">
        <v>2</v>
      </c>
      <c r="B258" s="4">
        <v>1512</v>
      </c>
      <c r="C258" s="4" t="s">
        <v>202</v>
      </c>
      <c r="D258" s="4" t="s">
        <v>171</v>
      </c>
      <c r="E258" s="68" t="s">
        <v>81</v>
      </c>
      <c r="F258" s="4" t="s">
        <v>158</v>
      </c>
      <c r="G258" s="4">
        <v>151207</v>
      </c>
      <c r="H258" s="4">
        <f>Tabel1[[#This Row],[Stald_kode]]+Tabel1[[#This Row],[Dyr_Kode]]</f>
        <v>152719</v>
      </c>
      <c r="I258" s="12">
        <v>0</v>
      </c>
      <c r="J258" s="4" t="s">
        <v>122</v>
      </c>
      <c r="K258" s="4"/>
      <c r="L258" s="14">
        <v>0.55000000000000004</v>
      </c>
      <c r="M258" s="14">
        <v>6.6000000000000003E-2</v>
      </c>
      <c r="N258" s="14">
        <f>Tabel1[[#This Row],[Antal dyr i Kommunen 2018]]*Tabel1[[#This Row],[Gødning (g) pr. dyr (ton)]]</f>
        <v>0</v>
      </c>
      <c r="O258" s="15"/>
      <c r="P258" s="14"/>
      <c r="Q258" s="7">
        <v>0</v>
      </c>
      <c r="R258" s="7">
        <v>181</v>
      </c>
      <c r="S258" s="13">
        <f t="shared" si="29"/>
        <v>29.040000000000006</v>
      </c>
      <c r="T258" s="9">
        <f>(L258*1000)/365*M258*0.8*Q258</f>
        <v>0</v>
      </c>
      <c r="U258" s="14">
        <v>13.4</v>
      </c>
      <c r="V258" s="7">
        <v>0.45</v>
      </c>
      <c r="W258" s="9">
        <f t="shared" si="30"/>
        <v>1.1732450400000003</v>
      </c>
      <c r="X258" s="79">
        <f>(W258*I258)/1000</f>
        <v>0</v>
      </c>
      <c r="Z258" s="8"/>
    </row>
    <row r="259" spans="1:26" hidden="1" x14ac:dyDescent="0.25">
      <c r="A259" s="24" t="s">
        <v>2</v>
      </c>
      <c r="B259" s="4">
        <v>1512</v>
      </c>
      <c r="C259" s="4" t="s">
        <v>202</v>
      </c>
      <c r="D259" s="4" t="s">
        <v>171</v>
      </c>
      <c r="E259" s="68" t="s">
        <v>32</v>
      </c>
      <c r="F259" s="4" t="s">
        <v>158</v>
      </c>
      <c r="G259" s="4">
        <v>151203</v>
      </c>
      <c r="H259" s="4">
        <f>Tabel1[[#This Row],[Stald_kode]]+Tabel1[[#This Row],[Dyr_Kode]]</f>
        <v>152715</v>
      </c>
      <c r="I259" s="12">
        <v>0</v>
      </c>
      <c r="J259" s="4" t="s">
        <v>122</v>
      </c>
      <c r="K259" s="4"/>
      <c r="L259" s="14">
        <v>0.56000000000000005</v>
      </c>
      <c r="M259" s="14">
        <v>6.0999999999999999E-2</v>
      </c>
      <c r="N259" s="14">
        <f>Tabel1[[#This Row],[Antal dyr i Kommunen 2018]]*Tabel1[[#This Row],[Gødning (g) pr. dyr (ton)]]</f>
        <v>0</v>
      </c>
      <c r="O259" s="15"/>
      <c r="P259" s="14"/>
      <c r="Q259" s="7">
        <v>0</v>
      </c>
      <c r="R259" s="7">
        <v>181</v>
      </c>
      <c r="S259" s="13">
        <f t="shared" si="29"/>
        <v>27.327999999999999</v>
      </c>
      <c r="T259" s="9">
        <f>(L259*1000)/365*M259*0.8*Q259</f>
        <v>0</v>
      </c>
      <c r="U259" s="7">
        <v>13.7</v>
      </c>
      <c r="V259" s="7">
        <v>0.45</v>
      </c>
      <c r="W259" s="9">
        <f t="shared" si="30"/>
        <v>1.128796704</v>
      </c>
      <c r="X259" s="79">
        <f>(W259*I259)/1000</f>
        <v>0</v>
      </c>
      <c r="Z259" s="8"/>
    </row>
    <row r="260" spans="1:26" hidden="1" x14ac:dyDescent="0.25">
      <c r="A260" s="25" t="s">
        <v>2</v>
      </c>
      <c r="B260" s="78">
        <v>1512</v>
      </c>
      <c r="C260" s="4" t="s">
        <v>202</v>
      </c>
      <c r="D260" s="4" t="s">
        <v>171</v>
      </c>
      <c r="E260" s="68" t="s">
        <v>29</v>
      </c>
      <c r="F260" s="4" t="s">
        <v>29</v>
      </c>
      <c r="G260" s="4">
        <v>151206</v>
      </c>
      <c r="H260" s="4">
        <f>Tabel1[[#This Row],[Stald_kode]]+Tabel1[[#This Row],[Dyr_Kode]]</f>
        <v>152718</v>
      </c>
      <c r="I260" s="12">
        <v>27.54</v>
      </c>
      <c r="J260" s="15"/>
      <c r="K260" s="4" t="s">
        <v>29</v>
      </c>
      <c r="L260" s="14"/>
      <c r="M260" s="14"/>
      <c r="N260" s="14">
        <f>Tabel1[[#This Row],[Antal dyr i Kommunen 2018]]*Tabel1[[#This Row],[Gødning (g) pr. dyr (ton)]]</f>
        <v>0</v>
      </c>
      <c r="O260" s="14">
        <v>0.18</v>
      </c>
      <c r="P260" s="14">
        <v>0.33</v>
      </c>
      <c r="Q260" s="7">
        <v>0</v>
      </c>
      <c r="R260" s="7">
        <v>181</v>
      </c>
      <c r="S260" s="13">
        <f t="shared" si="29"/>
        <v>59.373269999999998</v>
      </c>
      <c r="T260" s="9">
        <f>(O260*1000)/365*P260*0.8*Q260</f>
        <v>0</v>
      </c>
      <c r="U260" s="7">
        <v>11.4</v>
      </c>
      <c r="V260" s="7">
        <v>0.45</v>
      </c>
      <c r="W260" s="9">
        <f t="shared" si="30"/>
        <v>2.0407186631700003</v>
      </c>
      <c r="X260" s="79">
        <f>(W260*I260)/1000</f>
        <v>5.6201391983701804E-2</v>
      </c>
      <c r="Z260" s="8"/>
    </row>
    <row r="261" spans="1:26" hidden="1" x14ac:dyDescent="0.25">
      <c r="A261" s="25" t="s">
        <v>2</v>
      </c>
      <c r="B261" s="78">
        <v>1512</v>
      </c>
      <c r="C261" s="4" t="s">
        <v>202</v>
      </c>
      <c r="D261" s="4" t="s">
        <v>171</v>
      </c>
      <c r="E261" s="68" t="s">
        <v>31</v>
      </c>
      <c r="F261" s="4" t="s">
        <v>29</v>
      </c>
      <c r="G261" s="4">
        <v>151205</v>
      </c>
      <c r="H261" s="4">
        <f>Tabel1[[#This Row],[Stald_kode]]+Tabel1[[#This Row],[Dyr_Kode]]</f>
        <v>152717</v>
      </c>
      <c r="I261" s="12">
        <v>0</v>
      </c>
      <c r="J261" s="4" t="s">
        <v>122</v>
      </c>
      <c r="K261" s="4"/>
      <c r="L261" s="14">
        <v>0.35</v>
      </c>
      <c r="M261" s="14">
        <v>4.9000000000000002E-2</v>
      </c>
      <c r="N261" s="14">
        <f>Tabel1[[#This Row],[Antal dyr i Kommunen 2018]]*Tabel1[[#This Row],[Gødning (g) pr. dyr (ton)]]</f>
        <v>0</v>
      </c>
      <c r="O261" s="15"/>
      <c r="P261" s="14"/>
      <c r="Q261" s="7">
        <v>0</v>
      </c>
      <c r="R261" s="7">
        <v>181</v>
      </c>
      <c r="S261" s="13">
        <f t="shared" si="29"/>
        <v>13.720000000000002</v>
      </c>
      <c r="T261" s="9">
        <f>(L261*1000)/365*M261*0.8*Q261</f>
        <v>0</v>
      </c>
      <c r="U261" s="7">
        <v>13.4</v>
      </c>
      <c r="V261" s="7">
        <v>0.45</v>
      </c>
      <c r="W261" s="9">
        <f t="shared" si="30"/>
        <v>0.55430172000000022</v>
      </c>
      <c r="X261" s="79">
        <f>(W261*I261)/1000</f>
        <v>0</v>
      </c>
      <c r="Z261" s="8"/>
    </row>
    <row r="262" spans="1:26" hidden="1" x14ac:dyDescent="0.25">
      <c r="A262" s="26" t="s">
        <v>2</v>
      </c>
      <c r="B262" s="80"/>
      <c r="C262" s="4" t="s">
        <v>202</v>
      </c>
      <c r="D262" s="4" t="s">
        <v>171</v>
      </c>
      <c r="E262" s="68" t="s">
        <v>31</v>
      </c>
      <c r="F262" s="4" t="s">
        <v>29</v>
      </c>
      <c r="G262" s="4"/>
      <c r="H262" s="4">
        <f>Tabel1[[#This Row],[Stald_kode]]+Tabel1[[#This Row],[Dyr_Kode]]</f>
        <v>0</v>
      </c>
      <c r="I262" s="12"/>
      <c r="J262" s="4"/>
      <c r="K262" s="4" t="s">
        <v>29</v>
      </c>
      <c r="L262" s="15"/>
      <c r="M262" s="15"/>
      <c r="N262" s="14">
        <f>Tabel1[[#This Row],[Antal dyr i Kommunen 2018]]*Tabel1[[#This Row],[Gødning (g) pr. dyr (ton)]]</f>
        <v>0</v>
      </c>
      <c r="O262" s="13">
        <v>0.09</v>
      </c>
      <c r="P262" s="13">
        <v>0.33</v>
      </c>
      <c r="Q262" s="7">
        <v>0</v>
      </c>
      <c r="R262" s="7">
        <v>181</v>
      </c>
      <c r="S262" s="13">
        <f t="shared" si="29"/>
        <v>29.686634999999999</v>
      </c>
      <c r="T262" s="9">
        <f>(O262*1000)/365*P262*0.8*Q262</f>
        <v>0</v>
      </c>
      <c r="U262" s="7">
        <v>14.7</v>
      </c>
      <c r="V262" s="7">
        <v>0.45</v>
      </c>
      <c r="W262" s="9">
        <f t="shared" si="30"/>
        <v>1.3157265065175001</v>
      </c>
      <c r="X262" s="79">
        <f>(Tabel1[[#This Row],[CH4 pr. dyr (Kg)]]*I261)/1000</f>
        <v>0</v>
      </c>
      <c r="Z262" s="8"/>
    </row>
    <row r="263" spans="1:26" hidden="1" x14ac:dyDescent="0.25">
      <c r="A263" s="25" t="s">
        <v>2</v>
      </c>
      <c r="B263" s="78">
        <v>1512</v>
      </c>
      <c r="C263" s="4" t="s">
        <v>202</v>
      </c>
      <c r="D263" s="4" t="s">
        <v>171</v>
      </c>
      <c r="E263" s="68" t="s">
        <v>28</v>
      </c>
      <c r="F263" s="4" t="s">
        <v>159</v>
      </c>
      <c r="G263" s="4">
        <v>151204</v>
      </c>
      <c r="H263" s="4">
        <f>Tabel1[[#This Row],[Stald_kode]]+Tabel1[[#This Row],[Dyr_Kode]]</f>
        <v>152716</v>
      </c>
      <c r="I263" s="12">
        <v>0</v>
      </c>
      <c r="J263" s="4" t="s">
        <v>124</v>
      </c>
      <c r="K263" s="4"/>
      <c r="L263" s="14">
        <v>0.1</v>
      </c>
      <c r="M263" s="14">
        <v>0.23</v>
      </c>
      <c r="N263" s="14">
        <f>Tabel1[[#This Row],[Antal dyr i Kommunen 2018]]*Tabel1[[#This Row],[Gødning (g) pr. dyr (ton)]]</f>
        <v>0</v>
      </c>
      <c r="O263" s="15"/>
      <c r="P263" s="14"/>
      <c r="Q263" s="7">
        <v>0</v>
      </c>
      <c r="R263" s="7">
        <v>181</v>
      </c>
      <c r="S263" s="13">
        <f t="shared" si="29"/>
        <v>18.400000000000002</v>
      </c>
      <c r="T263" s="9">
        <f>(L263*1000)/365*M263*0.8*Q263</f>
        <v>0</v>
      </c>
      <c r="U263" s="7">
        <v>2</v>
      </c>
      <c r="V263" s="7">
        <v>0.45</v>
      </c>
      <c r="W263" s="9">
        <f t="shared" si="30"/>
        <v>0.11095200000000002</v>
      </c>
      <c r="X263" s="79">
        <f>(W263*I263)/1000</f>
        <v>0</v>
      </c>
      <c r="Z263" s="8"/>
    </row>
    <row r="264" spans="1:26" hidden="1" x14ac:dyDescent="0.25">
      <c r="A264" s="26" t="s">
        <v>2</v>
      </c>
      <c r="B264" s="80"/>
      <c r="C264" s="4" t="s">
        <v>202</v>
      </c>
      <c r="D264" s="4" t="s">
        <v>171</v>
      </c>
      <c r="E264" s="68" t="s">
        <v>28</v>
      </c>
      <c r="F264" s="4" t="s">
        <v>159</v>
      </c>
      <c r="G264" s="4"/>
      <c r="H264" s="4">
        <f>Tabel1[[#This Row],[Stald_kode]]+Tabel1[[#This Row],[Dyr_Kode]]</f>
        <v>0</v>
      </c>
      <c r="I264" s="12"/>
      <c r="J264" s="4"/>
      <c r="K264" s="15" t="s">
        <v>127</v>
      </c>
      <c r="L264" s="13">
        <v>0.36</v>
      </c>
      <c r="M264" s="13">
        <v>0.02</v>
      </c>
      <c r="N264" s="13">
        <f>Tabel1[[#This Row],[Antal dyr i Kommunen 2018]]*Tabel1[[#This Row],[Gødning (g) pr. dyr (ton)]]</f>
        <v>0</v>
      </c>
      <c r="O264" s="14"/>
      <c r="P264" s="14"/>
      <c r="Q264" s="7">
        <v>0</v>
      </c>
      <c r="R264" s="7">
        <v>181</v>
      </c>
      <c r="S264" s="13">
        <f t="shared" si="29"/>
        <v>5.7600000000000007</v>
      </c>
      <c r="T264" s="9">
        <f>(L264*1000)/365*M264*0.8*Q264</f>
        <v>0</v>
      </c>
      <c r="U264" s="7">
        <v>13.7</v>
      </c>
      <c r="V264" s="7">
        <v>0.45</v>
      </c>
      <c r="W264" s="9">
        <f t="shared" si="30"/>
        <v>0.23791968000000002</v>
      </c>
      <c r="X264" s="79">
        <f>(Tabel1[[#This Row],[CH4 pr. dyr (Kg)]]*I263)/1000</f>
        <v>0</v>
      </c>
      <c r="Z264" s="8"/>
    </row>
    <row r="265" spans="1:26" hidden="1" x14ac:dyDescent="0.25">
      <c r="A265" s="93" t="s">
        <v>2</v>
      </c>
      <c r="B265" s="94">
        <v>1511</v>
      </c>
      <c r="C265" s="28" t="s">
        <v>203</v>
      </c>
      <c r="D265" s="28" t="s">
        <v>172</v>
      </c>
      <c r="E265" s="28" t="s">
        <v>30</v>
      </c>
      <c r="F265" s="28" t="s">
        <v>158</v>
      </c>
      <c r="G265" s="28">
        <v>151103</v>
      </c>
      <c r="H265" s="28">
        <f>Tabel1[[#This Row],[Stald_kode]]+Tabel1[[#This Row],[Dyr_Kode]]</f>
        <v>152614</v>
      </c>
      <c r="I265" s="12">
        <v>0</v>
      </c>
      <c r="J265" s="28" t="s">
        <v>122</v>
      </c>
      <c r="K265" s="28"/>
      <c r="L265" s="95">
        <v>0.13400000000000001</v>
      </c>
      <c r="M265" s="95">
        <v>4.3999999999999997E-2</v>
      </c>
      <c r="N265" s="95">
        <f>Tabel1[[#This Row],[Antal dyr i Kommunen 2018]]*Tabel1[[#This Row],[Gødning (g) pr. dyr (ton)]]</f>
        <v>0</v>
      </c>
      <c r="O265" s="65"/>
      <c r="P265" s="95"/>
      <c r="Q265" s="29">
        <v>0</v>
      </c>
      <c r="R265" s="29">
        <v>181</v>
      </c>
      <c r="S265" s="66">
        <f t="shared" si="29"/>
        <v>4.7168000000000001</v>
      </c>
      <c r="T265" s="67">
        <f>(L265*1000)/365*M265*0.8*Q265</f>
        <v>0</v>
      </c>
      <c r="U265" s="29">
        <v>13.7</v>
      </c>
      <c r="V265" s="29">
        <v>0.45</v>
      </c>
      <c r="W265" s="67">
        <f t="shared" si="30"/>
        <v>0.19482978240000001</v>
      </c>
      <c r="X265" s="83">
        <f>(W265*I265)/1000</f>
        <v>0</v>
      </c>
      <c r="Z265" s="8"/>
    </row>
    <row r="266" spans="1:26" hidden="1" x14ac:dyDescent="0.25">
      <c r="A266" s="25" t="s">
        <v>2</v>
      </c>
      <c r="B266" s="78">
        <v>1511</v>
      </c>
      <c r="C266" s="4" t="s">
        <v>203</v>
      </c>
      <c r="D266" s="4" t="s">
        <v>173</v>
      </c>
      <c r="E266" s="4" t="s">
        <v>29</v>
      </c>
      <c r="F266" s="4" t="s">
        <v>29</v>
      </c>
      <c r="G266" s="28">
        <v>151105</v>
      </c>
      <c r="H266" s="28">
        <f>Tabel1[[#This Row],[Stald_kode]]+Tabel1[[#This Row],[Dyr_Kode]]</f>
        <v>152616</v>
      </c>
      <c r="I266" s="12">
        <v>27.54</v>
      </c>
      <c r="J266" s="15"/>
      <c r="K266" s="4" t="s">
        <v>29</v>
      </c>
      <c r="L266" s="14"/>
      <c r="M266" s="14"/>
      <c r="N266" s="14">
        <f>Tabel1[[#This Row],[Antal dyr i Kommunen 2018]]*Tabel1[[#This Row],[Gødning (g) pr. dyr (ton)]]</f>
        <v>0</v>
      </c>
      <c r="O266" s="14">
        <v>2.5999999999999999E-2</v>
      </c>
      <c r="P266" s="14">
        <v>0.33</v>
      </c>
      <c r="Q266" s="7">
        <v>0</v>
      </c>
      <c r="R266" s="7">
        <v>181</v>
      </c>
      <c r="S266" s="13">
        <f t="shared" si="29"/>
        <v>8.5761390000000013</v>
      </c>
      <c r="T266" s="9">
        <f>(O266*1000)/365*P266*0.8*Q266</f>
        <v>0</v>
      </c>
      <c r="U266" s="7">
        <v>7.2</v>
      </c>
      <c r="V266" s="7">
        <v>0.45</v>
      </c>
      <c r="W266" s="9">
        <f t="shared" si="30"/>
        <v>0.18617082541200003</v>
      </c>
      <c r="X266" s="79">
        <f>(W266*I266)/1000</f>
        <v>5.1271445318464811E-3</v>
      </c>
      <c r="Z266" s="8"/>
    </row>
    <row r="267" spans="1:26" hidden="1" x14ac:dyDescent="0.25">
      <c r="A267" s="25" t="s">
        <v>2</v>
      </c>
      <c r="B267" s="78">
        <v>1511</v>
      </c>
      <c r="C267" s="4" t="s">
        <v>203</v>
      </c>
      <c r="D267" s="4" t="s">
        <v>173</v>
      </c>
      <c r="E267" s="4" t="s">
        <v>28</v>
      </c>
      <c r="F267" s="4" t="s">
        <v>159</v>
      </c>
      <c r="G267" s="28">
        <v>151104</v>
      </c>
      <c r="H267" s="28">
        <f>Tabel1[[#This Row],[Stald_kode]]+Tabel1[[#This Row],[Dyr_Kode]]</f>
        <v>152615</v>
      </c>
      <c r="I267" s="12">
        <v>0</v>
      </c>
      <c r="J267" s="4" t="s">
        <v>124</v>
      </c>
      <c r="K267" s="4"/>
      <c r="L267" s="14">
        <v>1.7999999999999999E-2</v>
      </c>
      <c r="M267" s="14">
        <v>0.23</v>
      </c>
      <c r="N267" s="14">
        <f>Tabel1[[#This Row],[Antal dyr i Kommunen 2018]]*Tabel1[[#This Row],[Gødning (g) pr. dyr (ton)]]</f>
        <v>0</v>
      </c>
      <c r="O267" s="15"/>
      <c r="P267" s="14"/>
      <c r="Q267" s="7">
        <v>0</v>
      </c>
      <c r="R267" s="7">
        <v>181</v>
      </c>
      <c r="S267" s="13">
        <f t="shared" si="29"/>
        <v>3.3119999999999998</v>
      </c>
      <c r="T267" s="9">
        <f>(L267*1000)/365*M267*0.8*Q267</f>
        <v>0</v>
      </c>
      <c r="U267" s="7">
        <v>2</v>
      </c>
      <c r="V267" s="7">
        <v>0.45</v>
      </c>
      <c r="W267" s="9">
        <f t="shared" si="30"/>
        <v>1.9971360000000001E-2</v>
      </c>
      <c r="X267" s="79">
        <f>(W267*I267)/1000</f>
        <v>0</v>
      </c>
      <c r="Z267" s="8"/>
    </row>
    <row r="268" spans="1:26" hidden="1" x14ac:dyDescent="0.25">
      <c r="A268" s="26" t="s">
        <v>2</v>
      </c>
      <c r="B268" s="80"/>
      <c r="C268" s="4" t="s">
        <v>203</v>
      </c>
      <c r="D268" s="4" t="s">
        <v>173</v>
      </c>
      <c r="E268" s="4" t="s">
        <v>28</v>
      </c>
      <c r="F268" s="4" t="s">
        <v>159</v>
      </c>
      <c r="G268" s="4"/>
      <c r="H268" s="4">
        <f>Tabel1[[#This Row],[Stald_kode]]+Tabel1[[#This Row],[Dyr_Kode]]</f>
        <v>0</v>
      </c>
      <c r="I268" s="12"/>
      <c r="J268" s="4"/>
      <c r="K268" s="4" t="s">
        <v>127</v>
      </c>
      <c r="L268" s="15"/>
      <c r="M268" s="15"/>
      <c r="N268" s="14">
        <f>Tabel1[[#This Row],[Antal dyr i Kommunen 2018]]*Tabel1[[#This Row],[Gødning (g) pr. dyr (ton)]]</f>
        <v>0</v>
      </c>
      <c r="O268" s="13">
        <v>7.2999999999999995E-2</v>
      </c>
      <c r="P268" s="13">
        <v>1.9E-2</v>
      </c>
      <c r="Q268" s="7">
        <v>0</v>
      </c>
      <c r="R268" s="7">
        <v>181</v>
      </c>
      <c r="S268" s="13">
        <f t="shared" si="29"/>
        <v>1.3863758500000001</v>
      </c>
      <c r="T268" s="9">
        <f>(O268*1000)/365*P268*0.8*Q268</f>
        <v>0</v>
      </c>
      <c r="U268" s="7">
        <v>13.7</v>
      </c>
      <c r="V268" s="7">
        <v>0.45</v>
      </c>
      <c r="W268" s="9">
        <f t="shared" si="30"/>
        <v>5.7264947672175007E-2</v>
      </c>
      <c r="X268" s="79">
        <f>(W268*I267)/1000</f>
        <v>0</v>
      </c>
      <c r="Z268" s="8"/>
    </row>
    <row r="269" spans="1:26" hidden="1" x14ac:dyDescent="0.25">
      <c r="A269" s="24" t="s">
        <v>2</v>
      </c>
      <c r="B269" s="4">
        <v>1511</v>
      </c>
      <c r="C269" s="4" t="s">
        <v>203</v>
      </c>
      <c r="D269" s="4" t="s">
        <v>173</v>
      </c>
      <c r="E269" s="4" t="s">
        <v>78</v>
      </c>
      <c r="F269" s="4" t="s">
        <v>158</v>
      </c>
      <c r="G269" s="28">
        <v>151101</v>
      </c>
      <c r="H269" s="28">
        <f>Tabel1[[#This Row],[Stald_kode]]+Tabel1[[#This Row],[Dyr_Kode]]</f>
        <v>152612</v>
      </c>
      <c r="I269" s="12">
        <v>0</v>
      </c>
      <c r="J269" s="4" t="s">
        <v>122</v>
      </c>
      <c r="K269" s="4"/>
      <c r="L269" s="14">
        <v>0.13400000000000001</v>
      </c>
      <c r="M269" s="14">
        <v>0.05</v>
      </c>
      <c r="N269" s="14">
        <f>Tabel1[[#This Row],[Antal dyr i Kommunen 2018]]*Tabel1[[#This Row],[Gødning (g) pr. dyr (ton)]]</f>
        <v>0</v>
      </c>
      <c r="O269" s="15"/>
      <c r="P269" s="14"/>
      <c r="Q269" s="7">
        <v>0</v>
      </c>
      <c r="R269" s="7">
        <v>181</v>
      </c>
      <c r="S269" s="13">
        <f t="shared" si="29"/>
        <v>5.36</v>
      </c>
      <c r="T269" s="9">
        <f>(L269*1000)/365*M269*0.8*Q269</f>
        <v>0</v>
      </c>
      <c r="U269" s="7">
        <v>13.7</v>
      </c>
      <c r="V269" s="7">
        <v>0.45</v>
      </c>
      <c r="W269" s="9">
        <f t="shared" si="30"/>
        <v>0.22139748000000001</v>
      </c>
      <c r="X269" s="79">
        <f>(W269*I269)/1000</f>
        <v>0</v>
      </c>
      <c r="Z269" s="8"/>
    </row>
    <row r="270" spans="1:26" hidden="1" x14ac:dyDescent="0.25">
      <c r="A270" s="106" t="s">
        <v>199</v>
      </c>
      <c r="B270" s="107">
        <v>3500</v>
      </c>
      <c r="C270" s="92" t="s">
        <v>135</v>
      </c>
      <c r="D270" s="4" t="s">
        <v>149</v>
      </c>
      <c r="E270" s="101" t="s">
        <v>65</v>
      </c>
      <c r="F270" s="101" t="s">
        <v>155</v>
      </c>
      <c r="G270" s="101">
        <v>350001</v>
      </c>
      <c r="H270" s="101">
        <f>Tabel1[[#This Row],[Stald_kode]]+Tabel1[[#This Row],[Dyr_Kode]]</f>
        <v>353501</v>
      </c>
      <c r="I270" s="12">
        <v>0</v>
      </c>
      <c r="J270" s="15"/>
      <c r="K270" s="101" t="s">
        <v>29</v>
      </c>
      <c r="L270" s="96"/>
      <c r="M270" s="96"/>
      <c r="N270" s="96">
        <f>Tabel1[[#This Row],[Antal dyr i Kommunen 2018]]*Tabel1[[#This Row],[Gødning (g) pr. dyr (ton)]]</f>
        <v>0</v>
      </c>
      <c r="O270" s="96">
        <f>1/100</f>
        <v>0.01</v>
      </c>
      <c r="P270" s="96">
        <v>0.35</v>
      </c>
      <c r="Q270" s="99">
        <v>0</v>
      </c>
      <c r="R270" s="99">
        <v>0</v>
      </c>
      <c r="S270" s="103">
        <f t="shared" si="29"/>
        <v>3.4984249999999997</v>
      </c>
      <c r="T270" s="104">
        <f>(O270*1000)/365*P270*0.8*Q270</f>
        <v>0</v>
      </c>
      <c r="U270" s="97">
        <v>1.5</v>
      </c>
      <c r="V270" s="97">
        <v>0.36</v>
      </c>
      <c r="W270" s="9">
        <f t="shared" si="30"/>
        <v>1.2657301650000001E-2</v>
      </c>
      <c r="X270" s="79">
        <f>(W270*I270)/1000</f>
        <v>0</v>
      </c>
    </row>
    <row r="271" spans="1:26" ht="15.75" thickBot="1" x14ac:dyDescent="0.3">
      <c r="A271" s="18" t="s">
        <v>150</v>
      </c>
      <c r="B271" s="18"/>
      <c r="N271" s="6">
        <f>SUBTOTAL(9,Tabel1[Gødning (g) total (ton)])</f>
        <v>1713.9305999999999</v>
      </c>
      <c r="X271" s="23">
        <f>SUBTOTAL(9,X7:X270)</f>
        <v>8.1508711971959986</v>
      </c>
    </row>
    <row r="273" spans="1:24" s="21" customFormat="1" ht="59.25" customHeight="1" x14ac:dyDescent="0.25">
      <c r="A273" s="22" t="s">
        <v>152</v>
      </c>
      <c r="B273" s="22"/>
      <c r="C273" s="119" t="s">
        <v>153</v>
      </c>
      <c r="D273" s="119"/>
      <c r="E273" s="119"/>
      <c r="F273" s="119"/>
      <c r="G273" s="119"/>
      <c r="H273" s="119"/>
      <c r="I273" s="119"/>
      <c r="J273" s="119"/>
      <c r="K273" s="119"/>
      <c r="L273" s="121" t="s">
        <v>186</v>
      </c>
      <c r="M273" s="122"/>
      <c r="N273" s="122"/>
      <c r="O273" s="122"/>
      <c r="P273" s="123"/>
      <c r="Q273" s="120" t="s">
        <v>191</v>
      </c>
      <c r="R273" s="120"/>
      <c r="S273" s="120" t="s">
        <v>192</v>
      </c>
      <c r="T273" s="120"/>
      <c r="U273" s="16" t="s">
        <v>194</v>
      </c>
      <c r="V273" s="17" t="s">
        <v>151</v>
      </c>
      <c r="W273" s="20"/>
      <c r="X273" s="20"/>
    </row>
    <row r="275" spans="1:24" x14ac:dyDescent="0.25">
      <c r="W275" s="70"/>
    </row>
    <row r="277" spans="1:24" x14ac:dyDescent="0.25">
      <c r="E277" s="3"/>
    </row>
    <row r="278" spans="1:24" x14ac:dyDescent="0.25">
      <c r="E278" s="3"/>
      <c r="I278" s="6"/>
    </row>
  </sheetData>
  <sheetProtection formatCells="0"/>
  <sortState xmlns:xlrd2="http://schemas.microsoft.com/office/spreadsheetml/2017/richdata2" ref="A7:X249">
    <sortCondition ref="A7:A249"/>
    <sortCondition ref="C7:C249"/>
    <sortCondition ref="E7:E249"/>
  </sortState>
  <mergeCells count="4">
    <mergeCell ref="C273:K273"/>
    <mergeCell ref="Q273:R273"/>
    <mergeCell ref="L273:P273"/>
    <mergeCell ref="S273:T273"/>
  </mergeCells>
  <phoneticPr fontId="8" type="noConversion"/>
  <pageMargins left="0.7" right="0.7" top="0.75" bottom="0.75" header="0.3" footer="0.3"/>
  <pageSetup paperSize="9" orientation="portrait" horizontalDpi="4294967293" verticalDpi="4294967293" r:id="rId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AEB330F5AB5F43B244BD5EBF09EFCA" ma:contentTypeVersion="15" ma:contentTypeDescription="Opret et nyt dokument." ma:contentTypeScope="" ma:versionID="69ccfec4ddfd64cd27d741e5cbb24fc1">
  <xsd:schema xmlns:xsd="http://www.w3.org/2001/XMLSchema" xmlns:xs="http://www.w3.org/2001/XMLSchema" xmlns:p="http://schemas.microsoft.com/office/2006/metadata/properties" xmlns:ns2="fe121e20-e7f1-46f8-9cf0-3dcc1c9d6a71" xmlns:ns3="3cb11f44-5089-44be-a7dd-4fed73cd74f9" targetNamespace="http://schemas.microsoft.com/office/2006/metadata/properties" ma:root="true" ma:fieldsID="54d7258074ea64612ffe2d1596bb3c7b" ns2:_="" ns3:_="">
    <xsd:import namespace="fe121e20-e7f1-46f8-9cf0-3dcc1c9d6a71"/>
    <xsd:import namespace="3cb11f44-5089-44be-a7dd-4fed73cd74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Datio" minOccurs="0"/>
                <xsd:element ref="ns2:oprettelsesdato" minOccurs="0"/>
                <xsd:element ref="ns2:Mappe_x0020_nr_x002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21e20-e7f1-46f8-9cf0-3dcc1c9d6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io" ma:index="20" nillable="true" ma:displayName="Dato" ma:format="DateTime" ma:internalName="Datio">
      <xsd:simpleType>
        <xsd:restriction base="dms:DateTime"/>
      </xsd:simpleType>
    </xsd:element>
    <xsd:element name="oprettelsesdato" ma:index="21" nillable="true" ma:displayName="oprettelsesdato" ma:format="DateTime" ma:internalName="oprettelsesdato">
      <xsd:simpleType>
        <xsd:restriction base="dms:DateTime"/>
      </xsd:simpleType>
    </xsd:element>
    <xsd:element name="Mappe_x0020_nr_x002e_" ma:index="22" nillable="true" ma:displayName="Mappe nr." ma:internalName="Mappe_x0020_nr_x002e_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11f44-5089-44be-a7dd-4fed73cd74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ppe_x0020_nr_x002e_ xmlns="fe121e20-e7f1-46f8-9cf0-3dcc1c9d6a71" xsi:nil="true"/>
    <Datio xmlns="fe121e20-e7f1-46f8-9cf0-3dcc1c9d6a71" xsi:nil="true"/>
    <oprettelsesdato xmlns="fe121e20-e7f1-46f8-9cf0-3dcc1c9d6a71" xsi:nil="true"/>
  </documentManagement>
</p:properties>
</file>

<file path=customXml/itemProps1.xml><?xml version="1.0" encoding="utf-8"?>
<ds:datastoreItem xmlns:ds="http://schemas.openxmlformats.org/officeDocument/2006/customXml" ds:itemID="{E9B83824-4F5B-4E40-9A02-284F7EF0DBDA}"/>
</file>

<file path=customXml/itemProps2.xml><?xml version="1.0" encoding="utf-8"?>
<ds:datastoreItem xmlns:ds="http://schemas.openxmlformats.org/officeDocument/2006/customXml" ds:itemID="{6DF313C0-E5EB-47BB-9AE0-8560AEFF30B4}"/>
</file>

<file path=customXml/itemProps3.xml><?xml version="1.0" encoding="utf-8"?>
<ds:datastoreItem xmlns:ds="http://schemas.openxmlformats.org/officeDocument/2006/customXml" ds:itemID="{EDAAF7CA-BAB8-450F-B724-26C5A1D4E7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Læsø, 2018</vt:lpstr>
      <vt:lpstr>Data ark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2021-02-19T13:11:21Z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0x010100B7AEB330F5AB5F43B244BD5EBF09EFCA</vt:lpwstr>
  </property>
</Properties>
</file>